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STURIAS\"/>
    </mc:Choice>
  </mc:AlternateContent>
  <workbookProtection workbookAlgorithmName="SHA-512" workbookHashValue="SD5us4adQGQkPV5mdmUCszt5/k5no+H4NY+YSgSTJUUfk72YlnjGjbG8w/3Xx7qxOfzANc+c2Bb1CJqlCC9kdw==" workbookSaltValue="p9OmYKevDfnYlIb3q/6VQw==" workbookSpinCount="100000" lockStructure="1"/>
  <bookViews>
    <workbookView xWindow="-120" yWindow="-120" windowWidth="29040" windowHeight="1584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EW19" i="19" l="1"/>
  <c r="EV19" i="19"/>
  <c r="AW13" i="11"/>
  <c r="AU13" i="17"/>
  <c r="AW18" i="11"/>
  <c r="BP18" i="16"/>
  <c r="BP13" i="16"/>
  <c r="AX13" i="21"/>
  <c r="AY19" i="20"/>
  <c r="AW18" i="20"/>
  <c r="AW13" i="20"/>
  <c r="AU18" i="17"/>
  <c r="EV19" i="8"/>
  <c r="EV19" i="13"/>
  <c r="AY20" i="20"/>
  <c r="AU19" i="17" l="1"/>
  <c r="AX21" i="21"/>
  <c r="BR19" i="16"/>
  <c r="AW21" i="11"/>
  <c r="BB16" i="13"/>
  <c r="BA16" i="13"/>
  <c r="BB15" i="13"/>
  <c r="BA15" i="13"/>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J13" i="16" s="1"/>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H13" i="21" s="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C5" i="20"/>
  <c r="C2" i="20"/>
  <c r="C1" i="20"/>
  <c r="BG10" i="16"/>
  <c r="E10" i="16"/>
  <c r="CP19" i="19"/>
  <c r="CO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O19" i="19" s="1"/>
  <c r="AN13" i="19"/>
  <c r="AM13" i="19"/>
  <c r="AL13" i="19"/>
  <c r="AK13" i="19"/>
  <c r="AJ13" i="19"/>
  <c r="AI13" i="19"/>
  <c r="AH13" i="19"/>
  <c r="AG13" i="19"/>
  <c r="AG19" i="19" s="1"/>
  <c r="AF13" i="19"/>
  <c r="AE13" i="19"/>
  <c r="AD13" i="19"/>
  <c r="AC13" i="19"/>
  <c r="AB13" i="19"/>
  <c r="AA13" i="19"/>
  <c r="Z13" i="19"/>
  <c r="Y13" i="19"/>
  <c r="X13" i="19"/>
  <c r="W13" i="19"/>
  <c r="V13" i="19"/>
  <c r="U13" i="19"/>
  <c r="T13" i="19"/>
  <c r="S13" i="19"/>
  <c r="R13" i="19"/>
  <c r="Q13" i="19"/>
  <c r="P13" i="19"/>
  <c r="O13" i="19"/>
  <c r="N13" i="19"/>
  <c r="N19" i="19" s="1"/>
  <c r="M13" i="19"/>
  <c r="L13" i="19"/>
  <c r="K13" i="19"/>
  <c r="J13" i="19"/>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F17" i="16" s="1"/>
  <c r="BL17" i="16" s="1"/>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AY11" i="13"/>
  <c r="BB9" i="13"/>
  <c r="BA9" i="13"/>
  <c r="AY9" i="13"/>
  <c r="BC12" i="13"/>
  <c r="BC11" i="13"/>
  <c r="BC10" i="13"/>
  <c r="BB10" i="13"/>
  <c r="BA10" i="13"/>
  <c r="AZ10" i="13"/>
  <c r="AY10" i="13"/>
  <c r="BC9" i="13"/>
  <c r="BC17" i="13"/>
  <c r="BB17" i="13"/>
  <c r="BB18" i="13" s="1"/>
  <c r="BA17" i="13"/>
  <c r="AZ17" i="13"/>
  <c r="AY17" i="13"/>
  <c r="BC16" i="13"/>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D9"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B18" i="3" s="1"/>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Q18" i="8"/>
  <c r="P18" i="8"/>
  <c r="O18" i="8"/>
  <c r="O19" i="8" s="1"/>
  <c r="M18" i="8"/>
  <c r="N18" i="8"/>
  <c r="L18" i="8"/>
  <c r="E18" i="7" s="1"/>
  <c r="K18" i="8"/>
  <c r="D18" i="7" s="1"/>
  <c r="J18" i="8"/>
  <c r="I18" i="8"/>
  <c r="D18" i="12" s="1"/>
  <c r="CF13" i="8"/>
  <c r="N13" i="12" s="1"/>
  <c r="CE13" i="8"/>
  <c r="M13" i="12" s="1"/>
  <c r="CD13" i="8"/>
  <c r="CC13" i="8"/>
  <c r="CB13" i="8"/>
  <c r="CA13" i="8"/>
  <c r="BL13" i="8"/>
  <c r="BK13" i="8"/>
  <c r="BJ13" i="8"/>
  <c r="BI13" i="8"/>
  <c r="BH13" i="8"/>
  <c r="AR13" i="8"/>
  <c r="C13" i="3" s="1"/>
  <c r="AQ13" i="8"/>
  <c r="AP13" i="8"/>
  <c r="AO13" i="8"/>
  <c r="B13" i="3" s="1"/>
  <c r="AN13" i="8"/>
  <c r="AM13" i="8"/>
  <c r="AL13" i="8"/>
  <c r="AL19" i="8" s="1"/>
  <c r="AK13" i="8"/>
  <c r="AJ13" i="8"/>
  <c r="T13" i="12" s="1"/>
  <c r="AI13" i="8"/>
  <c r="AH13" i="8"/>
  <c r="R13" i="12" s="1"/>
  <c r="AG13" i="8"/>
  <c r="Q13" i="12" s="1"/>
  <c r="AF13" i="8"/>
  <c r="AE13" i="8"/>
  <c r="AD13" i="8"/>
  <c r="AC13" i="8"/>
  <c r="AB13" i="8"/>
  <c r="AA13" i="8"/>
  <c r="Z13" i="8"/>
  <c r="Y13" i="8"/>
  <c r="X13" i="8"/>
  <c r="W13" i="8"/>
  <c r="V13" i="8"/>
  <c r="U13" i="8"/>
  <c r="T13" i="8"/>
  <c r="S13" i="8"/>
  <c r="R13" i="8"/>
  <c r="Q13" i="8"/>
  <c r="P13" i="8"/>
  <c r="O13" i="8"/>
  <c r="N13" i="8"/>
  <c r="M13" i="8"/>
  <c r="L13" i="8"/>
  <c r="L19" i="8" s="1"/>
  <c r="K13" i="8"/>
  <c r="J13" i="8"/>
  <c r="C13" i="7" s="1"/>
  <c r="I13" i="8"/>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N9" i="11" s="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C17" i="11" s="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I9" i="2"/>
  <c r="I10" i="2"/>
  <c r="I11" i="2"/>
  <c r="I12" i="2"/>
  <c r="C10" i="2"/>
  <c r="C11" i="2"/>
  <c r="C12" i="2"/>
  <c r="D12" i="2" s="1"/>
  <c r="G9" i="2"/>
  <c r="G10" i="2"/>
  <c r="G11" i="2"/>
  <c r="L11" i="14" s="1"/>
  <c r="G12" i="2"/>
  <c r="E9" i="2"/>
  <c r="E10" i="2"/>
  <c r="AL10" i="11" s="1"/>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BG15" i="8" s="1"/>
  <c r="AY15" i="8"/>
  <c r="BB12" i="8"/>
  <c r="BA12" i="8"/>
  <c r="AZ12" i="8"/>
  <c r="AY12" i="8"/>
  <c r="BB11" i="8"/>
  <c r="BA11" i="8"/>
  <c r="AZ11" i="8"/>
  <c r="AY11" i="8"/>
  <c r="BB9" i="8"/>
  <c r="BE9" i="8" s="1"/>
  <c r="BA9" i="8"/>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B2" i="8"/>
  <c r="A3" i="8"/>
  <c r="B3" i="8"/>
  <c r="A4" i="8"/>
  <c r="B4" i="8"/>
  <c r="A5" i="8"/>
  <c r="BC9" i="8"/>
  <c r="AY10" i="8"/>
  <c r="AZ10" i="8"/>
  <c r="BA10" i="8"/>
  <c r="BB10" i="8"/>
  <c r="BC10" i="8"/>
  <c r="BC11" i="8"/>
  <c r="BC12" i="8"/>
  <c r="BC15" i="8"/>
  <c r="BC16" i="8"/>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E10" i="3" s="1"/>
  <c r="F10" i="3"/>
  <c r="H10" i="3"/>
  <c r="I10" i="3" s="1"/>
  <c r="A11" i="3"/>
  <c r="C11" i="3"/>
  <c r="D11" i="3"/>
  <c r="F11" i="3"/>
  <c r="H11" i="3"/>
  <c r="A12" i="3"/>
  <c r="C12" i="3"/>
  <c r="D12" i="3"/>
  <c r="F12" i="3"/>
  <c r="H12" i="3"/>
  <c r="I12" i="3" s="1"/>
  <c r="A13" i="3"/>
  <c r="A14" i="3"/>
  <c r="A15" i="3"/>
  <c r="C15" i="3"/>
  <c r="D15" i="3"/>
  <c r="F15" i="3"/>
  <c r="H15" i="3"/>
  <c r="I15" i="3" s="1"/>
  <c r="A16" i="3"/>
  <c r="C16" i="3"/>
  <c r="D16" i="3"/>
  <c r="F16" i="3"/>
  <c r="H16" i="3"/>
  <c r="A17" i="3"/>
  <c r="C17" i="3"/>
  <c r="D17" i="3"/>
  <c r="F17" i="3"/>
  <c r="H17" i="3"/>
  <c r="A19" i="3"/>
  <c r="A22" i="3"/>
  <c r="B2" i="10"/>
  <c r="B3" i="10"/>
  <c r="B4" i="10"/>
  <c r="A5" i="10"/>
  <c r="A8" i="10"/>
  <c r="A9" i="10"/>
  <c r="B9" i="10"/>
  <c r="C9" i="10"/>
  <c r="D9" i="10"/>
  <c r="I9" i="10" s="1"/>
  <c r="K9" i="10" s="1"/>
  <c r="E9" i="10"/>
  <c r="F9" i="10" s="1"/>
  <c r="H9" i="10"/>
  <c r="A10" i="10"/>
  <c r="B10" i="10"/>
  <c r="C10" i="10"/>
  <c r="D10" i="10"/>
  <c r="I10" i="10" s="1"/>
  <c r="K10" i="10" s="1"/>
  <c r="E10" i="10"/>
  <c r="F10" i="10" s="1"/>
  <c r="H10" i="10"/>
  <c r="A11" i="10"/>
  <c r="B11" i="10"/>
  <c r="C11" i="10"/>
  <c r="D11" i="10"/>
  <c r="I11" i="10" s="1"/>
  <c r="K11" i="10" s="1"/>
  <c r="E11" i="10"/>
  <c r="F11" i="10" s="1"/>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S13" i="12"/>
  <c r="B18" i="7"/>
  <c r="BD9" i="13"/>
  <c r="AN18" i="17"/>
  <c r="B18" i="2"/>
  <c r="AS13" i="8"/>
  <c r="AZ13" i="19"/>
  <c r="BB13" i="19"/>
  <c r="BA18" i="19"/>
  <c r="AY13" i="19"/>
  <c r="BC13" i="19"/>
  <c r="AY18" i="19"/>
  <c r="BC18" i="19"/>
  <c r="T19" i="19"/>
  <c r="I19" i="19"/>
  <c r="BA13" i="19"/>
  <c r="CK19"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S13" i="20"/>
  <c r="K13" i="20"/>
  <c r="AT13" i="20"/>
  <c r="AA13" i="20"/>
  <c r="R13" i="20"/>
  <c r="F13" i="20"/>
  <c r="V18" i="21"/>
  <c r="T18" i="21"/>
  <c r="D13" i="7"/>
  <c r="AV18" i="21"/>
  <c r="AR13" i="21"/>
  <c r="BF17" i="8"/>
  <c r="AG19" i="8"/>
  <c r="E18" i="12"/>
  <c r="ER19" i="8"/>
  <c r="AE13" i="21"/>
  <c r="EL19" i="8"/>
  <c r="BE12" i="21"/>
  <c r="EQ19" i="8"/>
  <c r="EN19" i="8"/>
  <c r="E15" i="3"/>
  <c r="BA13" i="16"/>
  <c r="E17" i="3"/>
  <c r="E10" i="6"/>
  <c r="ES19" i="8"/>
  <c r="G18" i="12"/>
  <c r="W19" i="8"/>
  <c r="R19" i="8"/>
  <c r="EP19" i="8"/>
  <c r="EP19" i="19"/>
  <c r="S13" i="16"/>
  <c r="P13" i="16"/>
  <c r="W13" i="20"/>
  <c r="M18" i="2"/>
  <c r="AO12" i="11"/>
  <c r="B12" i="6"/>
  <c r="H13" i="12"/>
  <c r="F13" i="7"/>
  <c r="T13" i="16"/>
  <c r="AY13" i="8"/>
  <c r="BD9" i="8"/>
  <c r="AP13" i="16"/>
  <c r="F11" i="11"/>
  <c r="AQ11" i="11" s="1"/>
  <c r="T18" i="17"/>
  <c r="BF15" i="13"/>
  <c r="BE16" i="13"/>
  <c r="BF16" i="13"/>
  <c r="Z20" i="20"/>
  <c r="H20" i="20"/>
  <c r="AK20" i="20"/>
  <c r="T20" i="20"/>
  <c r="O16" i="11"/>
  <c r="G18" i="14"/>
  <c r="BM18" i="16" l="1"/>
  <c r="C18" i="7"/>
  <c r="I19" i="8"/>
  <c r="BD12" i="8"/>
  <c r="BE12" i="8"/>
  <c r="AE13" i="17"/>
  <c r="AJ19" i="8"/>
  <c r="B13" i="7"/>
  <c r="AC10" i="11"/>
  <c r="BE15" i="13"/>
  <c r="R8" i="9"/>
  <c r="X12" i="17" s="1"/>
  <c r="X16" i="20"/>
  <c r="X9" i="16"/>
  <c r="X19" i="16" s="1"/>
  <c r="S15" i="14"/>
  <c r="V15" i="14" s="1"/>
  <c r="V15" i="16"/>
  <c r="AB13" i="21"/>
  <c r="AB19" i="21" s="1"/>
  <c r="BD16" i="13"/>
  <c r="F15" i="16"/>
  <c r="BL15" i="16" s="1"/>
  <c r="AU18" i="21"/>
  <c r="H9" i="7"/>
  <c r="AI19" i="8"/>
  <c r="D11" i="12"/>
  <c r="AL12" i="11"/>
  <c r="B17" i="6"/>
  <c r="H15" i="2"/>
  <c r="AN17" i="11"/>
  <c r="AN15" i="11"/>
  <c r="BE13" i="21"/>
  <c r="BE19" i="21" s="1"/>
  <c r="BD18" i="19"/>
  <c r="CN19" i="19"/>
  <c r="BD12" i="13"/>
  <c r="AC19" i="13"/>
  <c r="AA19" i="13"/>
  <c r="W19" i="13"/>
  <c r="BE17" i="13"/>
  <c r="BG10" i="13"/>
  <c r="E12" i="6"/>
  <c r="AV18" i="17"/>
  <c r="BE11" i="8"/>
  <c r="BG12" i="8"/>
  <c r="K12" i="7" s="1"/>
  <c r="BE15" i="8"/>
  <c r="BD16" i="8"/>
  <c r="AC19" i="17"/>
  <c r="BN18" i="16"/>
  <c r="BN19" i="16" s="1"/>
  <c r="F11" i="16"/>
  <c r="AH13" i="16"/>
  <c r="M13" i="2"/>
  <c r="AP15" i="11"/>
  <c r="AP11" i="11"/>
  <c r="H12" i="7"/>
  <c r="H12" i="2"/>
  <c r="J9" i="2"/>
  <c r="BB19" i="19"/>
  <c r="AP13" i="20"/>
  <c r="AS13" i="21"/>
  <c r="AO18" i="20"/>
  <c r="ER19" i="19"/>
  <c r="AB19" i="13"/>
  <c r="BG11" i="13"/>
  <c r="BA18" i="13"/>
  <c r="AY13" i="13"/>
  <c r="BF9" i="8"/>
  <c r="AL17" i="11"/>
  <c r="C17" i="6"/>
  <c r="F16" i="17"/>
  <c r="F17" i="17"/>
  <c r="AQ17" i="17" s="1"/>
  <c r="H18" i="16"/>
  <c r="C12" i="14"/>
  <c r="K12" i="14" s="1"/>
  <c r="F15" i="11"/>
  <c r="AQ15" i="11" s="1"/>
  <c r="F11" i="12"/>
  <c r="Y12" i="11"/>
  <c r="R18" i="11"/>
  <c r="C13" i="5"/>
  <c r="K15" i="7"/>
  <c r="AM15" i="11"/>
  <c r="L17" i="14"/>
  <c r="I12" i="7"/>
  <c r="F17" i="2"/>
  <c r="Z19" i="19"/>
  <c r="U19" i="19"/>
  <c r="AR13" i="20"/>
  <c r="P19" i="19"/>
  <c r="AB19" i="19"/>
  <c r="BE11" i="13"/>
  <c r="V19" i="13"/>
  <c r="AQ19" i="13"/>
  <c r="BC18" i="13"/>
  <c r="BD17" i="13"/>
  <c r="BF9" i="13"/>
  <c r="J17" i="7"/>
  <c r="D17" i="6"/>
  <c r="J17" i="12" s="1"/>
  <c r="J17" i="10"/>
  <c r="L17" i="10" s="1"/>
  <c r="BF12" i="8"/>
  <c r="AY18" i="8"/>
  <c r="BG9" i="8"/>
  <c r="K9" i="7" s="1"/>
  <c r="G17" i="3"/>
  <c r="G15" i="3"/>
  <c r="AN12" i="11"/>
  <c r="G11" i="3"/>
  <c r="BM19" i="8"/>
  <c r="CI19" i="8"/>
  <c r="T19" i="8"/>
  <c r="BK19" i="8"/>
  <c r="AM19" i="8"/>
  <c r="AK19" i="8"/>
  <c r="AE19" i="8"/>
  <c r="AC19" i="8"/>
  <c r="AA19" i="8"/>
  <c r="Y19" i="8"/>
  <c r="S19" i="8"/>
  <c r="Q19" i="8"/>
  <c r="BF15" i="8"/>
  <c r="J15" i="7" s="1"/>
  <c r="BE10" i="8"/>
  <c r="BG10" i="8"/>
  <c r="K10" i="7" s="1"/>
  <c r="C11" i="6"/>
  <c r="I11" i="12" s="1"/>
  <c r="C12" i="6"/>
  <c r="I12" i="12" s="1"/>
  <c r="C10" i="6"/>
  <c r="W13" i="17"/>
  <c r="F15" i="17"/>
  <c r="AQ15" i="17" s="1"/>
  <c r="AT18" i="17"/>
  <c r="AF13" i="21"/>
  <c r="AF19" i="21" s="1"/>
  <c r="AB21" i="21"/>
  <c r="F12" i="21"/>
  <c r="AO13" i="21"/>
  <c r="N13" i="2"/>
  <c r="C10" i="14"/>
  <c r="K10" i="14" s="1"/>
  <c r="F9" i="12"/>
  <c r="G9" i="12"/>
  <c r="E9" i="12"/>
  <c r="D9" i="12"/>
  <c r="AP10" i="11"/>
  <c r="F17" i="11"/>
  <c r="AQ17" i="11" s="1"/>
  <c r="AE13" i="11"/>
  <c r="AH13" i="11"/>
  <c r="F9" i="11"/>
  <c r="AP9" i="11"/>
  <c r="Y11" i="11"/>
  <c r="Y17" i="11"/>
  <c r="J12" i="7"/>
  <c r="D12" i="6"/>
  <c r="G12" i="3"/>
  <c r="G10" i="3"/>
  <c r="D16" i="6"/>
  <c r="E18" i="2"/>
  <c r="C16" i="6"/>
  <c r="I9" i="7"/>
  <c r="I18" i="2"/>
  <c r="G18" i="2"/>
  <c r="B16" i="6"/>
  <c r="N18" i="2"/>
  <c r="T10" i="21"/>
  <c r="AT18" i="20"/>
  <c r="CJ19" i="19"/>
  <c r="BF18" i="19"/>
  <c r="BC19" i="19"/>
  <c r="AO13" i="20"/>
  <c r="R19" i="19"/>
  <c r="V19" i="19"/>
  <c r="AD19" i="19"/>
  <c r="AL19" i="19"/>
  <c r="AR19" i="19"/>
  <c r="EL19" i="19"/>
  <c r="Y19" i="19"/>
  <c r="AQ19" i="19"/>
  <c r="AV13" i="17"/>
  <c r="J18" i="17"/>
  <c r="Z13" i="17"/>
  <c r="W18" i="16"/>
  <c r="BM19" i="13"/>
  <c r="AD19" i="13"/>
  <c r="AZ18" i="13"/>
  <c r="BG9" i="13"/>
  <c r="BE12" i="13"/>
  <c r="U19" i="13"/>
  <c r="AE19" i="13"/>
  <c r="BK19" i="13"/>
  <c r="ER19" i="13"/>
  <c r="BC13" i="13"/>
  <c r="AI18" i="11"/>
  <c r="Z19" i="8"/>
  <c r="BG17" i="8"/>
  <c r="K17" i="7" s="1"/>
  <c r="F9" i="2"/>
  <c r="AO9" i="11"/>
  <c r="E13" i="2"/>
  <c r="F13" i="2" s="1"/>
  <c r="C9" i="6"/>
  <c r="I9" i="12" s="1"/>
  <c r="D11" i="2"/>
  <c r="E11" i="6"/>
  <c r="E9" i="6"/>
  <c r="AL19" i="16"/>
  <c r="BA13" i="8"/>
  <c r="BD15" i="8"/>
  <c r="H15" i="7" s="1"/>
  <c r="AO16" i="17"/>
  <c r="I13" i="2"/>
  <c r="J13" i="2" s="1"/>
  <c r="D17" i="2"/>
  <c r="AO11" i="11"/>
  <c r="AL11" i="11"/>
  <c r="F12" i="11"/>
  <c r="AQ12" i="11" s="1"/>
  <c r="BF16" i="8"/>
  <c r="AB19" i="8"/>
  <c r="X19" i="8"/>
  <c r="B11" i="6"/>
  <c r="I11" i="7"/>
  <c r="L12" i="14"/>
  <c r="AO12" i="17"/>
  <c r="L16" i="14"/>
  <c r="AM16" i="11"/>
  <c r="AQ10" i="11"/>
  <c r="AP13" i="17"/>
  <c r="BJ13" i="16"/>
  <c r="AR18" i="11"/>
  <c r="AW18" i="21"/>
  <c r="U19" i="8"/>
  <c r="E13" i="17"/>
  <c r="AS19" i="8"/>
  <c r="I17" i="3"/>
  <c r="I11" i="3"/>
  <c r="BE17" i="8"/>
  <c r="I17" i="7" s="1"/>
  <c r="BD17" i="8"/>
  <c r="AL15" i="11"/>
  <c r="H18" i="12"/>
  <c r="K18" i="2"/>
  <c r="E12" i="12"/>
  <c r="K18" i="11"/>
  <c r="J16" i="10"/>
  <c r="L16" i="10" s="1"/>
  <c r="J15" i="10"/>
  <c r="L15" i="10" s="1"/>
  <c r="J12" i="10"/>
  <c r="L12" i="10" s="1"/>
  <c r="J11" i="10"/>
  <c r="L11" i="10" s="1"/>
  <c r="D15" i="2"/>
  <c r="AO15" i="11"/>
  <c r="E15" i="6"/>
  <c r="G13" i="2"/>
  <c r="C18" i="2"/>
  <c r="D18" i="2" s="1"/>
  <c r="J12" i="2"/>
  <c r="F12" i="2"/>
  <c r="H11" i="2"/>
  <c r="AL9" i="11"/>
  <c r="E17" i="6"/>
  <c r="AO17" i="11"/>
  <c r="AL16" i="11"/>
  <c r="AO16" i="11"/>
  <c r="BI17" i="16"/>
  <c r="H17" i="7"/>
  <c r="I15" i="7"/>
  <c r="L15" i="14"/>
  <c r="C15" i="6"/>
  <c r="I15" i="12" s="1"/>
  <c r="J15" i="2"/>
  <c r="AN11" i="11"/>
  <c r="AE19" i="21"/>
  <c r="G13" i="21"/>
  <c r="T13" i="20"/>
  <c r="AQ20" i="20"/>
  <c r="U10" i="11"/>
  <c r="O20" i="20"/>
  <c r="X20" i="20"/>
  <c r="AJ20" i="20"/>
  <c r="E20" i="20"/>
  <c r="AF20" i="20"/>
  <c r="W20" i="20"/>
  <c r="G13" i="14"/>
  <c r="F20" i="20"/>
  <c r="AA20" i="20"/>
  <c r="K20" i="20"/>
  <c r="L20" i="20"/>
  <c r="P20" i="20"/>
  <c r="J20" i="20"/>
  <c r="S20" i="20"/>
  <c r="U12" i="11"/>
  <c r="W20" i="21"/>
  <c r="T20" i="21"/>
  <c r="U16" i="11"/>
  <c r="AX20" i="20"/>
  <c r="Y20" i="20"/>
  <c r="O10" i="11"/>
  <c r="AM20" i="20"/>
  <c r="Q20" i="20"/>
  <c r="AB20" i="20"/>
  <c r="AI20" i="20"/>
  <c r="AZ20" i="20"/>
  <c r="AV20" i="20"/>
  <c r="AU20" i="20"/>
  <c r="M20" i="20"/>
  <c r="AQ20" i="21"/>
  <c r="AP20" i="20"/>
  <c r="AH20" i="20"/>
  <c r="N20" i="20"/>
  <c r="AD20" i="20"/>
  <c r="AE20" i="20"/>
  <c r="AG20" i="20"/>
  <c r="I20" i="20"/>
  <c r="BF18" i="13" l="1"/>
  <c r="AO17" i="17"/>
  <c r="X10" i="21"/>
  <c r="AA15" i="16"/>
  <c r="R10" i="14"/>
  <c r="L9" i="2"/>
  <c r="T17" i="20"/>
  <c r="S16" i="17"/>
  <c r="S11" i="17"/>
  <c r="AA9" i="16"/>
  <c r="X16" i="17"/>
  <c r="R16" i="14"/>
  <c r="S10" i="14"/>
  <c r="V10" i="14" s="1"/>
  <c r="L15" i="2"/>
  <c r="V9" i="16"/>
  <c r="U10" i="21"/>
  <c r="X12" i="21"/>
  <c r="AP16" i="20"/>
  <c r="BH9" i="16"/>
  <c r="V15" i="11"/>
  <c r="BJ17" i="11"/>
  <c r="BH15" i="11"/>
  <c r="BH15" i="16"/>
  <c r="Q17" i="20"/>
  <c r="Q18" i="20" s="1"/>
  <c r="BL17" i="11"/>
  <c r="BK12" i="11"/>
  <c r="BF10" i="11"/>
  <c r="BK9" i="11"/>
  <c r="X11" i="17"/>
  <c r="BK15" i="11"/>
  <c r="X9" i="17"/>
  <c r="AZ17" i="11"/>
  <c r="BI10" i="11"/>
  <c r="Q10" i="21"/>
  <c r="V9" i="11"/>
  <c r="BJ11" i="11"/>
  <c r="R10" i="21"/>
  <c r="BI17" i="11"/>
  <c r="BG9" i="11"/>
  <c r="BL11" i="11"/>
  <c r="BH17" i="11"/>
  <c r="BM15" i="11"/>
  <c r="T17" i="16"/>
  <c r="T15" i="16"/>
  <c r="BU15" i="17"/>
  <c r="BW9" i="20"/>
  <c r="BW17" i="20"/>
  <c r="BV16" i="16"/>
  <c r="BW16" i="20"/>
  <c r="BV15" i="16"/>
  <c r="BW15" i="20"/>
  <c r="BU9" i="17"/>
  <c r="BV10" i="16"/>
  <c r="BU17" i="17"/>
  <c r="BU16" i="17"/>
  <c r="BV9" i="16"/>
  <c r="AZ12" i="11"/>
  <c r="T15" i="11"/>
  <c r="T16" i="11"/>
  <c r="BG12" i="11"/>
  <c r="Q17" i="17"/>
  <c r="BH10" i="11"/>
  <c r="BI9" i="11"/>
  <c r="AQ10" i="21"/>
  <c r="BJ10" i="11"/>
  <c r="BK16" i="11"/>
  <c r="BH11" i="11"/>
  <c r="BG16" i="11"/>
  <c r="T11" i="11"/>
  <c r="BH16" i="11"/>
  <c r="AQ12" i="21"/>
  <c r="BJ16" i="11"/>
  <c r="BL16" i="11"/>
  <c r="L12" i="2"/>
  <c r="U9" i="17"/>
  <c r="U19" i="17" s="1"/>
  <c r="BF11" i="11"/>
  <c r="BL9" i="11"/>
  <c r="BG10" i="11"/>
  <c r="P17" i="17"/>
  <c r="BF16" i="11"/>
  <c r="BL12" i="11"/>
  <c r="V12" i="21"/>
  <c r="BK11" i="11"/>
  <c r="AP10" i="21"/>
  <c r="BH9" i="11"/>
  <c r="BJ15" i="11"/>
  <c r="AP15" i="20"/>
  <c r="R17" i="20"/>
  <c r="R18" i="20" s="1"/>
  <c r="AZ9" i="11"/>
  <c r="AZ15" i="11"/>
  <c r="AZ18" i="11" s="1"/>
  <c r="BV17" i="16"/>
  <c r="BV12" i="16"/>
  <c r="BV11" i="16"/>
  <c r="U10" i="17"/>
  <c r="V12" i="16"/>
  <c r="AA16" i="16"/>
  <c r="AZ16" i="11"/>
  <c r="AZ11" i="11"/>
  <c r="S15" i="16"/>
  <c r="BF12" i="11"/>
  <c r="BL10" i="11"/>
  <c r="Q15" i="17"/>
  <c r="BF15" i="11"/>
  <c r="BM9" i="11"/>
  <c r="BK10" i="11"/>
  <c r="X15" i="16"/>
  <c r="X18" i="16" s="1"/>
  <c r="T9" i="11"/>
  <c r="BH11" i="16"/>
  <c r="BH17" i="16"/>
  <c r="BM16" i="11"/>
  <c r="BF17" i="11"/>
  <c r="S17" i="16"/>
  <c r="V17" i="16"/>
  <c r="V11" i="11"/>
  <c r="BM12" i="11"/>
  <c r="BI15" i="11"/>
  <c r="BJ12" i="11"/>
  <c r="BG15" i="11"/>
  <c r="BK17" i="11"/>
  <c r="AP17" i="20"/>
  <c r="BU11" i="17"/>
  <c r="BU10" i="17"/>
  <c r="BW12" i="20"/>
  <c r="BW11" i="20"/>
  <c r="BW10" i="20"/>
  <c r="BU12" i="17"/>
  <c r="S11" i="14"/>
  <c r="V11" i="14" s="1"/>
  <c r="X17" i="17"/>
  <c r="P15" i="17"/>
  <c r="P18" i="17" s="1"/>
  <c r="P19" i="17" s="1"/>
  <c r="BL15" i="11"/>
  <c r="BH10" i="16"/>
  <c r="BM17" i="11"/>
  <c r="S17" i="17"/>
  <c r="BH12" i="16"/>
  <c r="L10" i="2"/>
  <c r="S15" i="17"/>
  <c r="V10" i="16"/>
  <c r="R17" i="14"/>
  <c r="S16" i="14"/>
  <c r="V16" i="14" s="1"/>
  <c r="X13" i="20"/>
  <c r="AM12" i="11"/>
  <c r="AM11" i="11"/>
  <c r="AM9" i="11"/>
  <c r="AO10" i="17"/>
  <c r="AO9" i="17"/>
  <c r="V10" i="21"/>
  <c r="X13" i="17"/>
  <c r="AQ13" i="21"/>
  <c r="AO15" i="17"/>
  <c r="X12" i="16"/>
  <c r="L16" i="2"/>
  <c r="S9" i="17"/>
  <c r="AA11" i="16"/>
  <c r="X15" i="17"/>
  <c r="X10" i="17"/>
  <c r="T17" i="11"/>
  <c r="S9" i="14"/>
  <c r="V9" i="14" s="1"/>
  <c r="R12" i="14"/>
  <c r="S17" i="14"/>
  <c r="V17" i="14" s="1"/>
  <c r="V15" i="20"/>
  <c r="V18" i="20" s="1"/>
  <c r="L17" i="2"/>
  <c r="L11" i="2"/>
  <c r="V11" i="16"/>
  <c r="S10" i="17"/>
  <c r="AA12" i="21"/>
  <c r="X17" i="20"/>
  <c r="AA17" i="16"/>
  <c r="AA10" i="16"/>
  <c r="T12" i="11"/>
  <c r="R11" i="14"/>
  <c r="S12" i="14"/>
  <c r="V12" i="14" s="1"/>
  <c r="I10" i="12"/>
  <c r="K9" i="12"/>
  <c r="J12" i="12"/>
  <c r="S19" i="19"/>
  <c r="AA19" i="19"/>
  <c r="AI19" i="19"/>
  <c r="BK19" i="19"/>
  <c r="CL19" i="19"/>
  <c r="BE18" i="19"/>
  <c r="BE13" i="19"/>
  <c r="M19" i="19"/>
  <c r="AC19" i="19"/>
  <c r="AK19" i="19"/>
  <c r="AS19" i="19"/>
  <c r="AP18" i="20"/>
  <c r="AJ19" i="19"/>
  <c r="AP19" i="19"/>
  <c r="Q19" i="19"/>
  <c r="X19" i="19"/>
  <c r="AF19" i="19"/>
  <c r="AN19" i="19"/>
  <c r="AM19" i="19"/>
  <c r="BI19" i="19"/>
  <c r="AY19" i="19"/>
  <c r="AG13" i="21"/>
  <c r="AT10" i="21"/>
  <c r="AL20" i="20"/>
  <c r="R20" i="20"/>
  <c r="AC20" i="20"/>
  <c r="S18" i="16" l="1"/>
  <c r="S19" i="16" s="1"/>
  <c r="Q9" i="11"/>
  <c r="AZ19" i="11"/>
  <c r="AZ13" i="11"/>
  <c r="R13" i="21"/>
  <c r="R19" i="21" s="1"/>
  <c r="BJ18" i="11"/>
  <c r="AV13" i="16"/>
  <c r="AZ13" i="13"/>
  <c r="BD10" i="13"/>
  <c r="BA13" i="13"/>
  <c r="BF13" i="13" s="1"/>
  <c r="BE9" i="13"/>
  <c r="BB13" i="13"/>
  <c r="BE13" i="13" s="1"/>
  <c r="BD11" i="13"/>
  <c r="BG12" i="13"/>
  <c r="AN19" i="13"/>
  <c r="X19" i="13"/>
  <c r="AI19" i="13"/>
  <c r="L19" i="13"/>
  <c r="BH19" i="13"/>
  <c r="AO19" i="13"/>
  <c r="AM19" i="13"/>
  <c r="Y19" i="13"/>
  <c r="S19" i="13"/>
  <c r="Q19" i="13"/>
  <c r="N19" i="13"/>
  <c r="AK19" i="13"/>
  <c r="Z19" i="13"/>
  <c r="BE10" i="13"/>
  <c r="D13" i="5"/>
  <c r="C13" i="6"/>
  <c r="BK13" i="11"/>
  <c r="Q18" i="17"/>
  <c r="Q19" i="17" s="1"/>
  <c r="F15" i="2"/>
  <c r="H17" i="2"/>
  <c r="H19" i="21"/>
  <c r="K15" i="12"/>
  <c r="I16" i="3"/>
  <c r="H18" i="3"/>
  <c r="I18" i="3" s="1"/>
  <c r="BI16" i="16"/>
  <c r="AN16" i="11"/>
  <c r="D10" i="6"/>
  <c r="AN10" i="11"/>
  <c r="C19" i="3"/>
  <c r="AH19" i="8"/>
  <c r="K10" i="12"/>
  <c r="D12" i="12"/>
  <c r="H21" i="12"/>
  <c r="B9" i="6"/>
  <c r="H9" i="2"/>
  <c r="AN9" i="11"/>
  <c r="L9" i="14"/>
  <c r="D10" i="2"/>
  <c r="AO10" i="11"/>
  <c r="L10" i="14"/>
  <c r="I10" i="7"/>
  <c r="E16" i="6"/>
  <c r="B15" i="6"/>
  <c r="BI15" i="16"/>
  <c r="D15" i="6"/>
  <c r="J15" i="12" s="1"/>
  <c r="H16" i="7"/>
  <c r="D9" i="6"/>
  <c r="J9" i="12" s="1"/>
  <c r="AG13" i="17"/>
  <c r="AJ18" i="17"/>
  <c r="AJ13" i="17"/>
  <c r="AK18" i="17"/>
  <c r="AK13" i="17"/>
  <c r="AL13" i="17"/>
  <c r="AM13" i="17"/>
  <c r="AT19" i="17"/>
  <c r="G13" i="16"/>
  <c r="BF11" i="8"/>
  <c r="J11" i="7" s="1"/>
  <c r="C15" i="14"/>
  <c r="K15" i="14" s="1"/>
  <c r="BD11" i="8"/>
  <c r="H11" i="7" s="1"/>
  <c r="BG16" i="8"/>
  <c r="K16" i="7" s="1"/>
  <c r="Y10" i="11"/>
  <c r="AC11" i="11"/>
  <c r="J13" i="11"/>
  <c r="AP13" i="21"/>
  <c r="AR13" i="11"/>
  <c r="G18" i="7"/>
  <c r="G16" i="3"/>
  <c r="E12" i="3"/>
  <c r="N13" i="17"/>
  <c r="AT19" i="8"/>
  <c r="F11" i="17"/>
  <c r="AQ11" i="17" s="1"/>
  <c r="K13" i="17"/>
  <c r="J13" i="17"/>
  <c r="K18" i="17"/>
  <c r="AF13" i="17"/>
  <c r="AX21" i="17"/>
  <c r="AQ10" i="17"/>
  <c r="M13" i="21"/>
  <c r="M19" i="21" s="1"/>
  <c r="AM13" i="21"/>
  <c r="AM19" i="21" s="1"/>
  <c r="BC21" i="21"/>
  <c r="EM19" i="8"/>
  <c r="E13" i="21"/>
  <c r="N13" i="21"/>
  <c r="N19" i="21" s="1"/>
  <c r="O13" i="21"/>
  <c r="O19" i="21" s="1"/>
  <c r="AL13" i="21"/>
  <c r="AL21" i="21" s="1"/>
  <c r="AN13" i="21"/>
  <c r="AN19" i="21" s="1"/>
  <c r="AY13" i="21"/>
  <c r="BA21" i="21"/>
  <c r="BL11" i="16"/>
  <c r="C17" i="14"/>
  <c r="K17" i="14" s="1"/>
  <c r="G12" i="12"/>
  <c r="E11" i="12"/>
  <c r="AG13" i="11"/>
  <c r="AS13" i="11"/>
  <c r="AS18" i="11"/>
  <c r="E13" i="11"/>
  <c r="AH18" i="11"/>
  <c r="S13" i="11"/>
  <c r="T13" i="11" s="1"/>
  <c r="AP12" i="11"/>
  <c r="AI13" i="11"/>
  <c r="F12" i="12"/>
  <c r="F16" i="11"/>
  <c r="F18" i="11" s="1"/>
  <c r="AU13" i="11"/>
  <c r="AP17" i="11"/>
  <c r="AT13" i="11"/>
  <c r="AV13" i="11"/>
  <c r="AV18" i="11"/>
  <c r="AX21" i="11"/>
  <c r="R13" i="11"/>
  <c r="Z13" i="11"/>
  <c r="AA13" i="11"/>
  <c r="AC12" i="11"/>
  <c r="AB18" i="11"/>
  <c r="AD13" i="11"/>
  <c r="AF18" i="11"/>
  <c r="AF13" i="11"/>
  <c r="Q15" i="11"/>
  <c r="I13" i="11"/>
  <c r="I18" i="11"/>
  <c r="J18" i="11"/>
  <c r="N12" i="11"/>
  <c r="Q12" i="11" s="1"/>
  <c r="L18" i="11"/>
  <c r="AC15" i="11"/>
  <c r="AY18" i="11"/>
  <c r="C18" i="5"/>
  <c r="B13" i="5"/>
  <c r="J9" i="7"/>
  <c r="E16" i="3"/>
  <c r="J9" i="10"/>
  <c r="L9" i="10" s="1"/>
  <c r="J10" i="10"/>
  <c r="L10" i="10" s="1"/>
  <c r="J18" i="2"/>
  <c r="AM13" i="11"/>
  <c r="J10" i="2"/>
  <c r="H10" i="2"/>
  <c r="B10" i="6"/>
  <c r="F10" i="2"/>
  <c r="F18" i="2"/>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C19" i="2" s="1"/>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21"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Z19" i="11" s="1"/>
  <c r="AB13" i="11"/>
  <c r="BH18" i="11"/>
  <c r="W18" i="11"/>
  <c r="Y16" i="11"/>
  <c r="X18" i="11"/>
  <c r="AC9" i="11"/>
  <c r="H13" i="11"/>
  <c r="E13" i="12" s="1"/>
  <c r="S18" i="11"/>
  <c r="H18" i="11"/>
  <c r="X13" i="11"/>
  <c r="AA18" i="11"/>
  <c r="M18" i="11"/>
  <c r="C16" i="14"/>
  <c r="K16" i="14" s="1"/>
  <c r="AV19" i="17"/>
  <c r="J16" i="7"/>
  <c r="J16" i="12"/>
  <c r="F18" i="3"/>
  <c r="G18" i="3" s="1"/>
  <c r="H13" i="3"/>
  <c r="E18" i="6"/>
  <c r="BF18" i="11"/>
  <c r="BK18" i="11"/>
  <c r="BK19" i="11" s="1"/>
  <c r="P15" i="11"/>
  <c r="K12" i="12"/>
  <c r="AJ18" i="11"/>
  <c r="D18" i="5"/>
  <c r="P17" i="11"/>
  <c r="F16" i="2"/>
  <c r="H16" i="2"/>
  <c r="J16" i="2"/>
  <c r="F13" i="3"/>
  <c r="E9" i="3"/>
  <c r="G9" i="3"/>
  <c r="T18" i="16"/>
  <c r="T19" i="16" s="1"/>
  <c r="AO18" i="1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B18" i="5"/>
  <c r="E13" i="16"/>
  <c r="F12" i="16"/>
  <c r="BL12" i="16" s="1"/>
  <c r="K13" i="21"/>
  <c r="K19" i="21" s="1"/>
  <c r="U18" i="16"/>
  <c r="L13" i="16"/>
  <c r="BC13" i="8"/>
  <c r="G18" i="17"/>
  <c r="AR18" i="17"/>
  <c r="N13" i="16"/>
  <c r="V13" i="17"/>
  <c r="V19" i="17" s="1"/>
  <c r="AV18" i="16"/>
  <c r="Y19" i="21"/>
  <c r="AW18" i="16"/>
  <c r="AY13" i="16"/>
  <c r="AG18" i="17"/>
  <c r="T13" i="21"/>
  <c r="T19" i="21" s="1"/>
  <c r="AI13" i="21"/>
  <c r="AI19" i="21" s="1"/>
  <c r="AO19" i="21"/>
  <c r="BB21" i="21"/>
  <c r="AK13" i="21"/>
  <c r="AK19" i="21" s="1"/>
  <c r="BI19" i="13"/>
  <c r="AL19" i="13"/>
  <c r="AZ19" i="13"/>
  <c r="M19" i="13"/>
  <c r="BF17" i="13"/>
  <c r="J19" i="13"/>
  <c r="T19" i="13"/>
  <c r="BF11" i="13"/>
  <c r="I19" i="13"/>
  <c r="BF10" i="13"/>
  <c r="BD18" i="13"/>
  <c r="AF19" i="13"/>
  <c r="P19" i="13"/>
  <c r="AO21" i="20"/>
  <c r="T16" i="20"/>
  <c r="S18" i="20"/>
  <c r="S19" i="20" s="1"/>
  <c r="AW19" i="21"/>
  <c r="W18" i="20"/>
  <c r="L19" i="19"/>
  <c r="AP19" i="20" s="1"/>
  <c r="J19" i="19"/>
  <c r="M19" i="20"/>
  <c r="AD18" i="20"/>
  <c r="AD21" i="20" s="1"/>
  <c r="AI18" i="20"/>
  <c r="AI19" i="20" s="1"/>
  <c r="F16" i="20"/>
  <c r="AS16" i="20" s="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E18" i="14"/>
  <c r="F13" i="14"/>
  <c r="J19" i="8"/>
  <c r="C9" i="14"/>
  <c r="AQ9" i="11"/>
  <c r="BC18" i="8"/>
  <c r="AZ18" i="8"/>
  <c r="BE18" i="13"/>
  <c r="BB19" i="13"/>
  <c r="AQ16" i="17"/>
  <c r="AG18" i="11"/>
  <c r="AK18" i="11"/>
  <c r="E13" i="14"/>
  <c r="U13" i="17"/>
  <c r="BV13" i="16"/>
  <c r="D19" i="12"/>
  <c r="I17" i="12"/>
  <c r="BE13" i="8"/>
  <c r="BF13" i="8"/>
  <c r="AY19" i="8"/>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O18"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U20" i="17"/>
  <c r="BR20" i="16"/>
  <c r="AX20" i="21"/>
  <c r="BP20" i="16"/>
  <c r="U17" i="11"/>
  <c r="AN20" i="20"/>
  <c r="AW20" i="11"/>
  <c r="O17" i="11"/>
  <c r="AO20" i="20"/>
  <c r="H20" i="17"/>
  <c r="AV20" i="21"/>
  <c r="BI18" i="16" l="1"/>
  <c r="AK19" i="20"/>
  <c r="AN18" i="11"/>
  <c r="F18" i="20"/>
  <c r="F21" i="20" s="1"/>
  <c r="BK19" i="16"/>
  <c r="AO19" i="16"/>
  <c r="V17" i="11"/>
  <c r="Q18" i="11"/>
  <c r="J21" i="17"/>
  <c r="H19" i="11"/>
  <c r="Y18" i="11"/>
  <c r="AS19" i="21"/>
  <c r="X18" i="20"/>
  <c r="G21" i="20"/>
  <c r="AX21" i="20"/>
  <c r="AO19" i="20"/>
  <c r="E19" i="2"/>
  <c r="L19" i="11"/>
  <c r="T18" i="11"/>
  <c r="AG21" i="11"/>
  <c r="W19" i="11"/>
  <c r="AN21" i="17"/>
  <c r="AY21" i="21"/>
  <c r="AL19" i="21"/>
  <c r="N19" i="2"/>
  <c r="BE18" i="8"/>
  <c r="I18" i="7" s="1"/>
  <c r="O19" i="16"/>
  <c r="I19" i="2"/>
  <c r="BG21" i="16"/>
  <c r="F19" i="14"/>
  <c r="AU21" i="21"/>
  <c r="D19" i="14"/>
  <c r="D21" i="12"/>
  <c r="I21" i="11"/>
  <c r="R19" i="11"/>
  <c r="AP13" i="11"/>
  <c r="K19" i="17"/>
  <c r="BG19" i="19"/>
  <c r="AU19" i="21"/>
  <c r="G19" i="20"/>
  <c r="J21" i="20"/>
  <c r="AQ19" i="21"/>
  <c r="AN21" i="20"/>
  <c r="AN21" i="21"/>
  <c r="F18" i="17"/>
  <c r="E19" i="17"/>
  <c r="AG21" i="17"/>
  <c r="G19" i="16"/>
  <c r="AP19" i="16"/>
  <c r="BC19" i="13"/>
  <c r="BG13" i="13"/>
  <c r="BD13" i="13"/>
  <c r="BA19" i="13"/>
  <c r="BF19" i="13" s="1"/>
  <c r="AI19" i="11"/>
  <c r="Y13" i="11"/>
  <c r="K16" i="12"/>
  <c r="AY19" i="21"/>
  <c r="AJ21" i="17"/>
  <c r="D19" i="2"/>
  <c r="BD19" i="16"/>
  <c r="J19" i="11"/>
  <c r="AH19" i="11"/>
  <c r="AG19" i="11"/>
  <c r="E21" i="12"/>
  <c r="AK19" i="11"/>
  <c r="AI21" i="11"/>
  <c r="AJ21" i="11"/>
  <c r="G21" i="11"/>
  <c r="AC13" i="11"/>
  <c r="AA19" i="11"/>
  <c r="X19" i="11"/>
  <c r="AQ16" i="11"/>
  <c r="AB19" i="11"/>
  <c r="M19" i="11"/>
  <c r="G20" i="11"/>
  <c r="G19" i="11"/>
  <c r="I19" i="11"/>
  <c r="D19" i="5"/>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V19" i="16"/>
  <c r="AQ21" i="21"/>
  <c r="AJ19" i="17"/>
  <c r="B19" i="2"/>
  <c r="J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AG20" i="21"/>
  <c r="R20" i="16"/>
  <c r="O12" i="11"/>
  <c r="BM19" i="11" l="1"/>
  <c r="G19" i="3"/>
  <c r="F19" i="2"/>
  <c r="BG19" i="11"/>
  <c r="BV19" i="16"/>
  <c r="BV21" i="16"/>
  <c r="Q13" i="11"/>
  <c r="I19" i="3"/>
  <c r="BD19" i="8"/>
  <c r="AO21" i="11"/>
  <c r="BG19" i="8"/>
  <c r="H19" i="2"/>
  <c r="F21" i="11"/>
  <c r="AV20" i="16"/>
  <c r="AD20" i="21"/>
  <c r="AY20" i="21"/>
  <c r="AK20" i="11"/>
  <c r="AU20" i="11"/>
  <c r="BE20" i="16"/>
  <c r="I20" i="21"/>
  <c r="N20" i="16"/>
  <c r="AO20" i="11"/>
  <c r="AF20" i="17"/>
  <c r="AL20" i="21"/>
  <c r="V20" i="17"/>
  <c r="AF20" i="11"/>
  <c r="J20" i="12"/>
  <c r="AJ20" i="17"/>
  <c r="H20" i="16"/>
  <c r="F20" i="17"/>
  <c r="AV20" i="11"/>
  <c r="AY20" i="16"/>
  <c r="AC20" i="17"/>
  <c r="BB20" i="16"/>
  <c r="AR20" i="21"/>
  <c r="AH20" i="11"/>
  <c r="Z20" i="17"/>
  <c r="X20" i="11"/>
  <c r="P20" i="11"/>
  <c r="BE20" i="21"/>
  <c r="AC20" i="21"/>
  <c r="V20" i="20"/>
  <c r="Z20" i="21"/>
  <c r="U20" i="11"/>
  <c r="BQ20" i="16"/>
  <c r="AT20" i="20"/>
  <c r="AF20" i="21"/>
  <c r="P20" i="17"/>
  <c r="AP20" i="17"/>
  <c r="AE20" i="21"/>
  <c r="AE20" i="17"/>
  <c r="AW20" i="16"/>
  <c r="BN20" i="16"/>
  <c r="AE20" i="16"/>
  <c r="J20" i="11"/>
  <c r="Q20" i="21"/>
  <c r="K20" i="16"/>
  <c r="BK20" i="16"/>
  <c r="AG20" i="16"/>
  <c r="W20" i="17"/>
  <c r="N20" i="21"/>
  <c r="AL20" i="16"/>
  <c r="AU20" i="16"/>
  <c r="F20" i="21"/>
  <c r="AA20" i="17"/>
  <c r="Z20" i="11"/>
  <c r="X20" i="21"/>
  <c r="J20" i="17"/>
  <c r="H20" i="11"/>
  <c r="AB20" i="21"/>
  <c r="AJ20" i="16"/>
  <c r="AR20" i="16"/>
  <c r="AN20" i="16"/>
  <c r="BD20" i="21"/>
  <c r="R20" i="17"/>
  <c r="AA20" i="21"/>
  <c r="S20" i="17"/>
  <c r="AS20" i="16"/>
  <c r="AK20" i="21"/>
  <c r="AE20" i="11"/>
  <c r="T20" i="17"/>
  <c r="S20" i="16"/>
  <c r="J20" i="16"/>
  <c r="AN20" i="17"/>
  <c r="AO20" i="16"/>
  <c r="V20" i="21"/>
  <c r="AD20" i="16"/>
  <c r="BC20" i="21"/>
  <c r="Y20" i="16"/>
  <c r="AZ20" i="11"/>
  <c r="J20" i="21"/>
  <c r="AH20" i="17"/>
  <c r="AC20" i="11"/>
  <c r="M20" i="16"/>
  <c r="Q20" i="17"/>
  <c r="AF20" i="16"/>
  <c r="AS20" i="11"/>
  <c r="Y20" i="11"/>
  <c r="L20" i="21"/>
  <c r="BD20" i="16"/>
  <c r="V20" i="16"/>
  <c r="AV20" i="17"/>
  <c r="AS20" i="21"/>
  <c r="AH20" i="21"/>
  <c r="BH20" i="16"/>
  <c r="E20" i="16"/>
  <c r="AW20" i="21"/>
  <c r="AO20" i="17"/>
  <c r="I20" i="12"/>
  <c r="AB20" i="11"/>
  <c r="BM20" i="16"/>
  <c r="AP20" i="21"/>
  <c r="BO20" i="16"/>
  <c r="O20" i="17"/>
  <c r="R20" i="11"/>
  <c r="K20" i="21"/>
  <c r="Y20" i="17"/>
  <c r="AI20" i="17"/>
  <c r="Q20" i="11"/>
  <c r="P20" i="16"/>
  <c r="AU20" i="21"/>
  <c r="BS20" i="16"/>
  <c r="BC20" i="16"/>
  <c r="AQ20" i="16"/>
  <c r="P20" i="21"/>
  <c r="D20" i="12"/>
  <c r="S20" i="21"/>
  <c r="AL20" i="17"/>
  <c r="AA20" i="11"/>
  <c r="AG20" i="11"/>
  <c r="H20" i="12"/>
  <c r="K20" i="17"/>
  <c r="AT20" i="11"/>
  <c r="AK20" i="17"/>
  <c r="BG20" i="16"/>
  <c r="M20" i="11"/>
  <c r="AY20" i="11"/>
  <c r="L20" i="16"/>
  <c r="H20" i="21"/>
  <c r="AR20" i="17"/>
  <c r="AZ20" i="16"/>
  <c r="R20" i="21"/>
  <c r="M20" i="17"/>
  <c r="AW20" i="17"/>
  <c r="X20" i="17"/>
  <c r="AP20" i="16"/>
  <c r="AM20" i="21"/>
  <c r="E20" i="21"/>
  <c r="AN20" i="11"/>
  <c r="F20" i="16"/>
  <c r="AM20" i="11"/>
  <c r="M20" i="21"/>
  <c r="K20" i="12"/>
  <c r="T20" i="16"/>
  <c r="U20" i="17"/>
  <c r="V20" i="11"/>
  <c r="AS20" i="17"/>
  <c r="AJ20" i="21"/>
  <c r="AB20" i="16"/>
  <c r="AT20" i="16"/>
  <c r="U20" i="21"/>
  <c r="AD20" i="11"/>
  <c r="I20" i="17"/>
  <c r="AG20" i="17"/>
  <c r="Z20" i="16"/>
  <c r="Q20" i="16"/>
  <c r="T20" i="11"/>
  <c r="L20" i="17"/>
  <c r="E20" i="11"/>
  <c r="AA20" i="16"/>
  <c r="U20" i="20"/>
  <c r="AC20" i="16"/>
  <c r="K20" i="11"/>
  <c r="AI20" i="21"/>
  <c r="AR20" i="20"/>
  <c r="AL20" i="11"/>
  <c r="F20" i="12"/>
  <c r="I20" i="11"/>
  <c r="F20" i="11"/>
  <c r="I20" i="16"/>
  <c r="O20" i="21"/>
  <c r="O20" i="11"/>
  <c r="BF20" i="16"/>
  <c r="AH20" i="16"/>
  <c r="BJ20" i="16"/>
  <c r="AJ20" i="11"/>
  <c r="Y20" i="21"/>
  <c r="AM20" i="16"/>
  <c r="AK20" i="16"/>
  <c r="AN20" i="21"/>
  <c r="O20" i="16"/>
  <c r="AB20" i="17"/>
  <c r="W20" i="16"/>
  <c r="S20" i="11"/>
  <c r="E20" i="12"/>
  <c r="AM20" i="17"/>
  <c r="AX20" i="16"/>
  <c r="AT20" i="17"/>
  <c r="N20" i="17"/>
  <c r="AI20" i="16"/>
  <c r="E20" i="17"/>
  <c r="N20" i="11"/>
  <c r="AD20" i="17"/>
  <c r="U20" i="16"/>
  <c r="L20" i="11"/>
  <c r="BA20" i="16"/>
  <c r="X20" i="16"/>
  <c r="AR20" i="11"/>
  <c r="BI20" i="16"/>
  <c r="G20" i="12"/>
  <c r="BL20" i="16" l="1"/>
  <c r="AQ20" i="17"/>
  <c r="AT20" i="21"/>
  <c r="AP20" i="11"/>
  <c r="S19" i="17"/>
  <c r="F19" i="11"/>
  <c r="AQ19" i="11" s="1"/>
  <c r="AQ13" i="11"/>
  <c r="AQ21" i="11" s="1"/>
  <c r="F19" i="17"/>
  <c r="AQ19" i="17" s="1"/>
  <c r="F21" i="16"/>
  <c r="E19" i="6"/>
  <c r="K19" i="12" s="1"/>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S19" i="11"/>
  <c r="T19" i="11" s="1"/>
  <c r="K18" i="7"/>
  <c r="K18" i="12"/>
  <c r="E21" i="16"/>
  <c r="AI20" i="11"/>
  <c r="W20" i="11"/>
  <c r="AO20" i="21"/>
  <c r="T21" i="11" l="1"/>
  <c r="I19" i="7"/>
  <c r="AQ20" i="11"/>
  <c r="AV19"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<sst xmlns="http://schemas.openxmlformats.org/spreadsheetml/2006/main" count="2094" uniqueCount="913">
  <si>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</si>
  <si>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</si>
  <si>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</si>
  <si>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</si>
  <si>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</si>
  <si>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</si>
  <si>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</si>
  <si>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</si>
  <si>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</si>
  <si>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</si>
  <si>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</si>
  <si>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</si>
  <si>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</si>
  <si>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</si>
  <si>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</si>
  <si>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</si>
  <si>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</si>
  <si>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</si>
  <si>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</si>
  <si>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</si>
  <si>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</si>
  <si>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</si>
  <si>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</si>
  <si>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</si>
  <si>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</si>
  <si>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</si>
  <si>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</si>
  <si>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</si>
  <si>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</si>
  <si>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</si>
  <si>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</si>
  <si>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</si>
  <si>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</si>
  <si>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</si>
  <si>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</si>
  <si>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</si>
  <si>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</si>
  <si>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</si>
  <si>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</si>
  <si>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</si>
  <si>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</si>
  <si>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</si>
  <si>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</si>
  <si>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</si>
  <si>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</si>
  <si>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</si>
  <si>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</si>
  <si>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</si>
  <si>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</si>
  <si>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</si>
  <si>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</si>
  <si>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</si>
  <si>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</si>
  <si>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</si>
  <si>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</si>
  <si>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</si>
  <si>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</si>
  <si>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</si>
  <si>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</si>
  <si>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</si>
  <si>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</si>
  <si>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</si>
  <si>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</si>
  <si>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</si>
  <si>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</si>
  <si>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</si>
  <si>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</si>
  <si>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</si>
  <si>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</si>
  <si>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</si>
  <si>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</si>
  <si>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</si>
  <si>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</si>
  <si>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</si>
  <si>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</si>
  <si>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</si>
  <si>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</si>
  <si>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</si>
  <si>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</si>
  <si>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</si>
  <si>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</si>
  <si>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</si>
  <si>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</si>
  <si>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</si>
  <si>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</si>
  <si>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</si>
  <si>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</si>
  <si>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</si>
  <si>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</si>
  <si>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</si>
  <si>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</si>
  <si>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</si>
  <si>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</si>
  <si>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</si>
  <si>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</si>
  <si>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</si>
  <si>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</si>
  <si>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</si>
  <si>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</si>
  <si>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</si>
  <si>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</si>
  <si>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</si>
  <si>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</si>
  <si>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</si>
  <si>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</si>
  <si>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</si>
  <si>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</si>
  <si>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</si>
  <si>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</si>
  <si>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</si>
  <si>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</si>
  <si>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</si>
  <si>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</si>
  <si>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</si>
  <si>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</si>
  <si>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</si>
  <si>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</si>
  <si>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</si>
  <si>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</si>
  <si>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</si>
  <si>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</si>
  <si>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</si>
  <si>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</si>
  <si>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</si>
  <si>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</si>
  <si>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</si>
  <si>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</si>
  <si>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</si>
  <si>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</si>
  <si>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</si>
  <si>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</si>
  <si>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</si>
  <si>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</si>
  <si>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</si>
  <si>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</si>
  <si>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</si>
  <si>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</si>
  <si>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</si>
  <si>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</si>
  <si>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</si>
  <si>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</si>
  <si>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</si>
  <si>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</si>
  <si>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</si>
  <si>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</si>
  <si>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</si>
  <si>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</si>
  <si>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</si>
  <si>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</si>
  <si>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</si>
  <si>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</si>
  <si>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</si>
  <si>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</si>
  <si>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</si>
  <si>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</si>
  <si>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</si>
  <si>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</si>
  <si>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</si>
  <si>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</si>
  <si>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</si>
  <si>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</si>
  <si>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</si>
  <si>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</si>
  <si>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</si>
  <si>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</si>
  <si>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</si>
  <si>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</si>
  <si>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</si>
  <si>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</si>
  <si>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</si>
  <si>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</si>
  <si>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</si>
  <si>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</si>
  <si>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</si>
  <si>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</si>
  <si>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</si>
  <si>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</si>
  <si>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</si>
  <si>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</si>
  <si>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</si>
  <si>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</si>
  <si>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</si>
  <si>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</si>
  <si>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</si>
  <si>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</si>
  <si>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</si>
  <si>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</si>
  <si>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</si>
  <si>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</si>
  <si>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</si>
  <si>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</si>
  <si>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</si>
  <si>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</si>
  <si>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</si>
  <si>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</si>
  <si>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</si>
  <si>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</si>
  <si>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</si>
  <si>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</si>
  <si>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</si>
  <si>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</si>
  <si>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</si>
  <si>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</si>
  <si>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</si>
  <si>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</si>
  <si>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</si>
  <si>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</si>
  <si>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</si>
  <si>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</si>
  <si>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</si>
  <si>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</si>
  <si>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</si>
  <si>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</si>
  <si>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</si>
  <si>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</si>
  <si>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</si>
  <si>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</si>
  <si>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</si>
  <si>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</si>
  <si>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</si>
  <si>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</si>
  <si>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</si>
  <si>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</si>
  <si>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</si>
  <si>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</si>
  <si>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</si>
  <si>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</si>
  <si>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</si>
  <si>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</si>
  <si>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</si>
  <si>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</si>
  <si>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</si>
  <si>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</si>
  <si>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</si>
  <si>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</si>
  <si>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</si>
  <si>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</si>
  <si>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</si>
  <si>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</si>
  <si>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</si>
  <si>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</si>
  <si>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</si>
  <si>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</si>
  <si>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</si>
  <si>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</si>
  <si>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</si>
  <si>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</si>
  <si>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</si>
  <si>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</si>
  <si>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</si>
  <si>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</si>
  <si>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</si>
  <si>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</si>
  <si>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</si>
  <si>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</si>
  <si>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</si>
  <si>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</si>
  <si>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</si>
  <si>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</si>
  <si>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</si>
  <si>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</si>
  <si>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</si>
  <si>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</si>
  <si>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</si>
  <si>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</si>
  <si>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</si>
  <si>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</si>
  <si>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</si>
  <si>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</si>
  <si>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</si>
  <si>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</si>
  <si>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</si>
  <si>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</si>
  <si>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</si>
  <si>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</si>
  <si>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</si>
  <si>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</si>
  <si>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</si>
  <si>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</si>
  <si>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</si>
  <si>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</si>
  <si>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</si>
  <si>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</si>
  <si>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</si>
  <si>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</si>
  <si>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</si>
  <si>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</si>
  <si>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</si>
  <si>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</si>
  <si>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</si>
  <si>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</si>
  <si>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</si>
  <si>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</si>
  <si>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</si>
  <si>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</si>
  <si>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</si>
  <si>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</si>
  <si>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</si>
  <si>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</si>
  <si>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</si>
  <si>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</si>
  <si>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</si>
  <si>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</si>
  <si>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</si>
  <si>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</si>
  <si>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</si>
  <si>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</si>
  <si>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</si>
  <si>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</si>
  <si>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</si>
  <si>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</si>
  <si>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</si>
  <si>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</si>
  <si>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</si>
  <si>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</si>
  <si>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</si>
  <si>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</si>
  <si>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</si>
  <si>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</si>
  <si>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</si>
  <si>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</si>
  <si>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</si>
  <si>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</si>
  <si>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</si>
  <si>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</si>
  <si>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</si>
  <si>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</si>
  <si>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</si>
  <si>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</si>
  <si>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</si>
  <si>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</si>
  <si>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</si>
  <si>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</si>
  <si>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</si>
  <si>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</si>
  <si>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</si>
  <si>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</si>
  <si>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</si>
  <si>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</si>
  <si>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</si>
  <si>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</si>
  <si>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</si>
  <si>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</si>
  <si>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</si>
  <si>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</si>
  <si>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</si>
  <si>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</si>
  <si>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</si>
  <si>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</si>
  <si>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</si>
  <si>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</si>
  <si>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</si>
  <si>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</si>
  <si>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</si>
  <si>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</si>
  <si>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</si>
  <si>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</si>
  <si>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</si>
  <si>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</si>
  <si>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</si>
  <si>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</si>
  <si>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</si>
  <si>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</si>
  <si>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</si>
  <si>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</si>
  <si>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</si>
  <si>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</si>
  <si>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</si>
  <si>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</si>
  <si>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</si>
  <si>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</si>
  <si>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</si>
  <si>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</si>
  <si>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</si>
  <si>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</si>
  <si>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</si>
  <si>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</si>
  <si>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</si>
  <si>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</si>
  <si>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</si>
  <si>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</si>
  <si>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</si>
  <si>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</si>
  <si>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</si>
  <si>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</si>
  <si>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</si>
  <si>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</si>
  <si>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</si>
  <si>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</si>
  <si>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</si>
  <si>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</si>
  <si>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</si>
  <si>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</si>
  <si>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</si>
  <si>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</si>
  <si>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</si>
  <si>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</si>
  <si>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</si>
  <si>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</si>
  <si>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</si>
  <si>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</si>
  <si>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</si>
  <si>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</si>
  <si>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</si>
  <si>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</si>
  <si>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</si>
  <si>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</si>
  <si>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</si>
  <si>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</si>
  <si>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</si>
  <si>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</si>
  <si>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</si>
  <si>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</si>
  <si>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</si>
  <si>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</si>
  <si>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</si>
  <si>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</si>
  <si>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</si>
  <si>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</si>
  <si>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</si>
  <si>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</si>
  <si>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</si>
  <si>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</si>
  <si>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</si>
  <si>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</si>
  <si>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</si>
  <si>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</si>
  <si>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</si>
  <si>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</si>
  <si>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</si>
  <si>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</si>
  <si>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</si>
  <si>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</si>
  <si>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</si>
  <si>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</si>
  <si>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</si>
  <si>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</si>
  <si>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</si>
  <si>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</si>
  <si>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</si>
  <si>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</si>
  <si>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</si>
  <si>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</si>
  <si>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</si>
  <si>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</si>
  <si>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</si>
  <si>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</si>
  <si>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</si>
  <si>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</si>
  <si>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</si>
  <si>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</si>
  <si>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</si>
  <si>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</si>
  <si>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</si>
  <si>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</si>
  <si>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</si>
  <si>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</si>
  <si>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</si>
  <si>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</si>
  <si>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</si>
  <si>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</si>
  <si>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</si>
  <si>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</si>
  <si>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</si>
  <si>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</si>
  <si>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</si>
  <si>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</si>
  <si>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</si>
  <si>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</si>
  <si>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</si>
  <si>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</si>
  <si>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</si>
  <si>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</si>
  <si>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</si>
  <si>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</si>
  <si>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</si>
  <si>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</si>
  <si>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</si>
  <si>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</si>
  <si>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</si>
  <si>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</si>
  <si>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</si>
  <si>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</si>
  <si>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</si>
  <si>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</si>
  <si>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</si>
  <si>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</si>
  <si>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</si>
  <si>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</si>
  <si>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</si>
  <si>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</si>
  <si>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</si>
  <si>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</si>
  <si>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</si>
  <si>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</si>
  <si>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</si>
  <si>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</si>
  <si>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</si>
  <si>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</si>
  <si>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</si>
  <si>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</si>
  <si>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</si>
  <si>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</si>
  <si>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</si>
  <si>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</si>
  <si>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</si>
  <si>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</si>
  <si>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</si>
  <si>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</si>
  <si>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</si>
  <si>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</si>
  <si>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</si>
  <si>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</si>
  <si>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</si>
  <si>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</si>
  <si>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</si>
  <si>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</si>
  <si>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</si>
  <si>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</si>
  <si>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</si>
  <si>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</si>
  <si>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</si>
  <si>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</si>
  <si>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</si>
  <si>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</si>
  <si>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</si>
  <si>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</si>
  <si>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</si>
  <si>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</si>
  <si>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</si>
  <si>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</si>
  <si>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</si>
  <si>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</si>
  <si>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</si>
  <si>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</si>
  <si>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</si>
  <si>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</si>
  <si>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</si>
  <si>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</si>
  <si>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</si>
  <si>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</si>
  <si>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</si>
  <si>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</si>
  <si>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</si>
  <si>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</si>
  <si>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</si>
  <si>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</si>
  <si>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</si>
  <si>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</si>
  <si>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</si>
  <si>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</si>
  <si>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</si>
  <si>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</si>
  <si>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</si>
  <si>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</si>
  <si>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</si>
  <si>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</si>
  <si>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</si>
  <si>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</si>
  <si>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</si>
  <si>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</si>
  <si>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</si>
  <si>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</si>
  <si>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</si>
  <si>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</si>
  <si>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</si>
  <si>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</si>
  <si>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</si>
  <si>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</si>
  <si>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</si>
  <si>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</si>
  <si>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</si>
  <si>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</si>
  <si>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</si>
  <si>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</si>
  <si>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</si>
  <si>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</si>
  <si>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</si>
  <si>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</si>
  <si>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</si>
  <si>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</si>
  <si>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</si>
  <si>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</si>
  <si>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</si>
  <si>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</si>
  <si>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</si>
  <si>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</si>
  <si>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</si>
  <si>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</si>
  <si>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</si>
  <si>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</si>
  <si>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</si>
  <si>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</si>
  <si>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</si>
  <si>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</si>
  <si>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</si>
  <si>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</si>
  <si>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</si>
  <si>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</si>
  <si>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</si>
  <si>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</si>
  <si>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</si>
  <si>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</si>
  <si>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</si>
  <si>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</si>
  <si>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</si>
  <si>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</si>
  <si>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</si>
  <si>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</si>
  <si>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</si>
  <si>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</si>
  <si>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</si>
  <si>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</si>
  <si>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</si>
  <si>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</si>
  <si>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</si>
  <si>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</si>
  <si>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</si>
  <si>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</si>
  <si>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</si>
  <si>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</si>
  <si>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</si>
  <si>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</si>
  <si>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</si>
  <si>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</si>
  <si>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</si>
  <si>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</si>
  <si>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</si>
  <si>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</si>
  <si>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</si>
  <si>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</si>
  <si>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</si>
  <si>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</si>
  <si>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</si>
  <si>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</si>
  <si>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</si>
  <si>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</si>
  <si>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</si>
  <si>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</si>
  <si>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</si>
  <si>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</si>
  <si>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</si>
  <si>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</si>
  <si>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</si>
  <si>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</si>
  <si>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</si>
  <si>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</si>
  <si>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</si>
  <si>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</si>
  <si>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</si>
  <si>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</si>
  <si>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</si>
  <si>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</si>
  <si>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</si>
  <si>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</si>
  <si>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</si>
  <si>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</si>
  <si>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</si>
  <si>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</si>
  <si>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</si>
  <si>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</si>
  <si>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</si>
  <si>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</si>
  <si>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</si>
  <si>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</si>
  <si>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</si>
  <si>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</si>
  <si>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</si>
  <si>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</si>
  <si>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</si>
  <si>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</si>
  <si>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</si>
  <si>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</si>
  <si>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</si>
  <si>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</si>
  <si>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</si>
  <si>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</si>
  <si>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</si>
  <si>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</si>
  <si>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</si>
  <si>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</si>
  <si>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</si>
  <si>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</si>
  <si>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</si>
  <si>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</si>
  <si>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</si>
  <si>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</si>
  <si>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</si>
  <si>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</si>
  <si>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</si>
  <si>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</si>
  <si>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</si>
  <si>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</si>
  <si>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</si>
  <si>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</si>
  <si>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</si>
  <si>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</si>
  <si>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</si>
  <si>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</si>
  <si>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</si>
  <si>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</si>
  <si>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</si>
  <si>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</si>
  <si>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</si>
  <si>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</si>
  <si>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</si>
  <si>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</si>
  <si>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</si>
  <si>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</si>
  <si>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</si>
  <si>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</si>
  <si>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</si>
  <si>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</si>
  <si>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</si>
  <si>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</si>
  <si>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</si>
  <si>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</si>
  <si>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</si>
  <si>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</si>
  <si>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</si>
  <si>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</si>
  <si>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</si>
  <si>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</si>
  <si>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</si>
  <si>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</si>
  <si>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</si>
  <si>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</si>
  <si>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</si>
  <si>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</si>
  <si>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</si>
  <si>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</si>
  <si>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</si>
  <si>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</si>
  <si>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</si>
  <si>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</si>
  <si>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</si>
  <si>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</si>
  <si>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</si>
  <si>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</si>
  <si>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</si>
  <si>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</si>
  <si>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</si>
  <si>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</si>
  <si>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</si>
  <si>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</si>
  <si>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</si>
  <si>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</si>
  <si>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</si>
  <si>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</si>
  <si>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</si>
  <si>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</si>
  <si>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</si>
  <si>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</si>
  <si>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</si>
  <si>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</si>
  <si>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</si>
  <si>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</si>
  <si>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</si>
  <si>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</si>
  <si>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</si>
  <si>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</si>
  <si>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</si>
  <si>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</si>
  <si>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</si>
  <si>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</si>
  <si>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</si>
  <si>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</si>
  <si>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</si>
  <si>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</si>
  <si>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</si>
  <si>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</si>
  <si>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</si>
  <si>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</si>
  <si>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</si>
  <si>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</si>
  <si>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</si>
  <si>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</si>
  <si>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</si>
  <si>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</si>
  <si>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</si>
  <si>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</si>
  <si>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</si>
  <si>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</si>
  <si>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</si>
  <si>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</si>
  <si>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</si>
  <si>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</si>
  <si>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</si>
  <si>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</si>
  <si>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</si>
  <si>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</si>
  <si>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</si>
  <si>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</si>
  <si>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</si>
  <si>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</si>
  <si>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</si>
  <si>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</si>
  <si>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</si>
  <si>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</si>
  <si>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</si>
  <si>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</si>
  <si>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</si>
  <si>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</si>
  <si>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</si>
  <si>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</si>
  <si>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</si>
  <si>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</si>
  <si>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</si>
  <si>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</si>
  <si>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</si>
  <si>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</si>
  <si>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</si>
  <si>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</si>
  <si>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</si>
  <si>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</si>
  <si>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</si>
  <si>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</si>
  <si>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</si>
  <si>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</si>
  <si>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</si>
  <si>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</si>
  <si>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</si>
  <si>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</si>
  <si>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</si>
  <si>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</si>
  <si>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</si>
  <si>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</si>
  <si>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</si>
  <si>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</si>
  <si>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</si>
  <si>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</si>
  <si>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</si>
  <si>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</si>
  <si>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</si>
  <si>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</si>
  <si>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</si>
  <si>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</si>
  <si>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</si>
  <si>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</si>
  <si>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</si>
  <si>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</si>
  <si>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</si>
  <si>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</si>
  <si>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</si>
  <si>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</si>
  <si>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</si>
  <si>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</si>
  <si>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</si>
  <si>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</si>
  <si>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</si>
  <si>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</si>
  <si>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</si>
  <si>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</si>
  <si>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</si>
  <si>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</si>
  <si>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</si>
  <si>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</si>
  <si>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</si>
  <si>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</si>
  <si>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</si>
  <si>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</si>
  <si>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</si>
  <si>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</si>
  <si>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</si>
  <si>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</si>
  <si>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</si>
  <si>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</si>
  <si>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</si>
  <si>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</si>
  <si>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</si>
  <si>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</si>
  <si>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</si>
  <si>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</si>
  <si>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</si>
  <si>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</si>
  <si>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</si>
  <si>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</si>
  <si>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</si>
  <si>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</si>
  <si>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</si>
  <si>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</si>
  <si>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</si>
  <si>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</si>
  <si>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</si>
  <si>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</si>
  <si>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</si>
  <si>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</si>
  <si>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</si>
  <si>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</si>
  <si>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</si>
  <si>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</si>
  <si>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</si>
  <si>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</si>
  <si>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</si>
  <si>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</si>
  <si>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</si>
  <si>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</si>
  <si>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</si>
  <si>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</si>
  <si>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</si>
  <si>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</si>
  <si>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</si>
  <si>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</si>
  <si>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</si>
  <si>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</si>
  <si>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</si>
  <si>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</si>
  <si>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Fecha Informe: 29 may. 2024</t>
  </si>
  <si>
    <t>Tribunales de Justicia</t>
  </si>
  <si>
    <t>ASTURIAS</t>
  </si>
  <si>
    <t>Provincias</t>
  </si>
  <si>
    <t>Resumenes por Partidos Judiciales</t>
  </si>
  <si>
    <t>TINEO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</si>
</sst>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0">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55">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0" xfId="0" applyFont="1"/>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5">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2143125</xdr:colOff>
      <xdr:row>0</xdr:row>
      <xdr:rowOff>1076325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6" t="s">
        <v>100</v>
      </c>
      <c r="B3" s="1187"/>
      <c r="C3" s="1187"/>
      <c r="D3" s="1188"/>
      <c r="E3" s="366"/>
      <c r="F3" s="2"/>
      <c r="Q3" s="346">
        <v>1</v>
      </c>
      <c r="R3" s="346">
        <v>3</v>
      </c>
      <c r="S3" t="b">
        <f>AND(Q3&gt;=TrimIni,Q3&lt;=TrimFin)</f>
        <v>1</v>
      </c>
    </row>
    <row r="4" spans="1:19" ht="22.5" customHeight="1" thickBot="1">
      <c r="A4" s="367" t="s">
        <v>907</v>
      </c>
      <c r="B4" s="366"/>
      <c r="C4" s="366"/>
      <c r="D4" s="366"/>
      <c r="E4" s="366"/>
      <c r="F4" s="2"/>
      <c r="Q4" s="346">
        <v>2</v>
      </c>
      <c r="R4" s="346">
        <v>3</v>
      </c>
      <c r="S4" t="b">
        <f>AND(Q4&gt;=TrimIni,Q4&lt;=TrimFin)</f>
        <v>0</v>
      </c>
    </row>
    <row r="5" spans="1:19" ht="15.75" thickBot="1">
      <c r="A5" s="368" t="s">
        <v>37</v>
      </c>
      <c r="B5" s="369">
        <v>2024</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908</v>
      </c>
      <c r="B9" s="375" t="s">
        <v>909</v>
      </c>
      <c r="C9" s="372"/>
      <c r="D9" s="372"/>
      <c r="E9" s="381"/>
      <c r="F9" s="3"/>
    </row>
    <row r="10" spans="1:19">
      <c r="A10" s="380" t="s">
        <v>910</v>
      </c>
      <c r="B10" s="372" t="s">
        <v>909</v>
      </c>
      <c r="C10" s="372"/>
      <c r="D10" s="372"/>
      <c r="E10" s="381"/>
      <c r="F10" s="3"/>
      <c r="Q10" s="346">
        <v>0</v>
      </c>
    </row>
    <row r="11" spans="1:19" ht="13.5" thickBot="1">
      <c r="A11" s="382" t="s">
        <v>911</v>
      </c>
      <c r="B11" s="383" t="s">
        <v>912</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0eO05hIAKTBYKUvLKdaBM0G9irlvjh735S1rZ1PHRGEd6OFqnhOl+07Xtkr3+VGN7KpXkvQX5pDZQH9DBlkzxw==" saltValue="Wdh+bz8JacMfqjCN6Sher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N27"/>
  <sheetViews>
    <sheetView zoomScale="85" zoomScaleNormal="85" workbookViewId="0">
      <selection activeCell="D10" sqref="D10"/>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16384" width="11.42578125" style="372"/>
  </cols>
  <sheetData>
    <row r="1" spans="1:14" ht="108" customHeight="1"/>
    <row r="2" spans="1:14">
      <c r="A2" s="375"/>
      <c r="B2" s="389" t="str">
        <f>Criterios!A9 &amp;"  "&amp;Criterios!B9</f>
        <v>Tribunales de Justicia  ASTURIAS</v>
      </c>
      <c r="C2" s="375"/>
      <c r="D2" s="375"/>
      <c r="E2" s="375"/>
      <c r="F2" s="375"/>
    </row>
    <row r="3" spans="1:14" ht="19.5">
      <c r="A3" s="390" t="s">
        <v>115</v>
      </c>
      <c r="B3" s="391" t="str">
        <f>Criterios!A10 &amp;"  "&amp;Criterios!B10</f>
        <v>Provincias  ASTURIAS</v>
      </c>
      <c r="D3" s="375"/>
      <c r="E3" s="375"/>
      <c r="F3" s="375"/>
    </row>
    <row r="4" spans="1:14" ht="13.5" thickBot="1">
      <c r="A4" s="375"/>
      <c r="B4" s="391" t="str">
        <f>Criterios!A11 &amp;"  "&amp;Criterios!B11</f>
        <v>Resumenes por Partidos Judiciales  TINEO</v>
      </c>
      <c r="C4" s="375"/>
      <c r="D4" s="375"/>
      <c r="E4" s="375"/>
      <c r="F4" s="375"/>
    </row>
    <row r="5" spans="1:14" ht="15.75" customHeight="1">
      <c r="A5" s="1196" t="str">
        <f>"Año:  " &amp;Criterios!B5 &amp; "     Trimestre   " &amp;Criterios!D5 &amp; " al " &amp;Criterios!D6</f>
        <v>Año:  2024     Trimestre   1 al 1</v>
      </c>
      <c r="B5" s="791" t="s">
        <v>116</v>
      </c>
      <c r="C5" s="1198" t="s">
        <v>128</v>
      </c>
      <c r="D5" s="1199"/>
      <c r="E5" s="1198" t="s">
        <v>92</v>
      </c>
      <c r="F5" s="1199"/>
      <c r="G5" s="1198" t="s">
        <v>9</v>
      </c>
      <c r="H5" s="1199"/>
      <c r="I5" s="1198" t="s">
        <v>129</v>
      </c>
      <c r="J5" s="1199"/>
      <c r="K5" s="1205" t="s">
        <v>748</v>
      </c>
      <c r="L5" s="1189" t="s">
        <v>794</v>
      </c>
      <c r="M5" s="1189" t="s">
        <v>855</v>
      </c>
      <c r="N5" s="1192" t="s">
        <v>747</v>
      </c>
    </row>
    <row r="6" spans="1:14" ht="21.75" customHeight="1" thickBot="1">
      <c r="A6" s="1197"/>
      <c r="B6" s="792"/>
      <c r="C6" s="1200"/>
      <c r="D6" s="1201"/>
      <c r="E6" s="1200"/>
      <c r="F6" s="1201"/>
      <c r="G6" s="1200"/>
      <c r="H6" s="1201"/>
      <c r="I6" s="1200"/>
      <c r="J6" s="1201"/>
      <c r="K6" s="1206"/>
      <c r="L6" s="1190"/>
      <c r="M6" s="1190"/>
      <c r="N6" s="1193"/>
    </row>
    <row r="7" spans="1:14" ht="38.25" customHeight="1" thickTop="1" thickBot="1">
      <c r="A7" s="392" t="s">
        <v>742</v>
      </c>
      <c r="B7" s="393" t="s">
        <v>117</v>
      </c>
      <c r="C7" s="394" t="s">
        <v>5</v>
      </c>
      <c r="D7" s="395" t="s">
        <v>6</v>
      </c>
      <c r="E7" s="394" t="s">
        <v>5</v>
      </c>
      <c r="F7" s="395" t="s">
        <v>6</v>
      </c>
      <c r="G7" s="394" t="s">
        <v>5</v>
      </c>
      <c r="H7" s="395" t="s">
        <v>6</v>
      </c>
      <c r="I7" s="394" t="s">
        <v>5</v>
      </c>
      <c r="J7" s="395" t="s">
        <v>6</v>
      </c>
      <c r="K7" s="1207"/>
      <c r="L7" s="1191"/>
      <c r="M7" s="1191"/>
      <c r="N7" s="1194"/>
    </row>
    <row r="8" spans="1:14">
      <c r="A8" s="396" t="str">
        <f>Datos!A8</f>
        <v>Jurisdicción Civil ( 1 ):</v>
      </c>
      <c r="B8" s="397"/>
      <c r="C8" s="398"/>
      <c r="D8" s="399"/>
      <c r="E8" s="398"/>
      <c r="F8" s="399"/>
      <c r="G8" s="398"/>
      <c r="H8" s="399"/>
      <c r="I8" s="398"/>
      <c r="J8" s="399"/>
      <c r="K8" s="401"/>
      <c r="L8" s="1103"/>
      <c r="M8" s="401"/>
      <c r="N8" s="401"/>
    </row>
    <row r="9" spans="1:14">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row>
    <row r="10" spans="1:14">
      <c r="A10" s="402" t="str">
        <f>Datos!A10</f>
        <v>Jdos. Violencia contra la mujer</v>
      </c>
      <c r="B10" s="403">
        <f>Datos!AO10</f>
        <v>1</v>
      </c>
      <c r="C10" s="403">
        <f>IF(ISNUMBER(Datos!I10),Datos!I10," - ")</f>
        <v>2</v>
      </c>
      <c r="D10" s="404">
        <f>IF(ISNUMBER(C10/Datos!BH10),C10/Datos!BH10," - ")</f>
        <v>2</v>
      </c>
      <c r="E10" s="403">
        <f>IF(ISNUMBER(Datos!J10),Datos!J10," - ")</f>
        <v>1</v>
      </c>
      <c r="F10" s="404">
        <f>IF(ISNUMBER(E10/B10),E10/B10," - ")</f>
        <v>1</v>
      </c>
      <c r="G10" s="403">
        <f>IF(ISNUMBER(Datos!K10),Datos!K10," - ")</f>
        <v>2</v>
      </c>
      <c r="H10" s="404">
        <f>IF(ISNUMBER(G10/B10),G10/B10," - ")</f>
        <v>2</v>
      </c>
      <c r="I10" s="403">
        <f>IF(ISNUMBER(Datos!L10),Datos!L10," - ")</f>
        <v>1</v>
      </c>
      <c r="J10" s="404">
        <f>IF(ISNUMBER(I10/B10),I10/B10," - ")</f>
        <v>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row>
    <row r="11" spans="1:14">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row>
    <row r="12" spans="1:14" ht="13.5" thickBot="1">
      <c r="A12" s="402" t="str">
        <f>Datos!A12</f>
        <v xml:space="preserve">Jdos. 1ª Instª. e Instr.                        </v>
      </c>
      <c r="B12" s="403">
        <f>Datos!AO12</f>
        <v>1</v>
      </c>
      <c r="C12" s="403">
        <f>IF(ISNUMBER(IF(J_V="SI",Datos!I12,Datos!I12+Datos!Y12)),IF(J_V="SI",Datos!I12,Datos!I12+Datos!Y12)," - ")</f>
        <v>307</v>
      </c>
      <c r="D12" s="404">
        <f>IF(ISNUMBER(C12/Datos!BH12),C12/Datos!BH12," - ")</f>
        <v>307</v>
      </c>
      <c r="E12" s="403">
        <f>IF(ISNUMBER(IF(J_V="SI",Datos!J12,Datos!J12+Datos!Z12)),IF(J_V="SI",Datos!J12,Datos!J12+Datos!Z12)," - ")</f>
        <v>103</v>
      </c>
      <c r="F12" s="404">
        <f>IF(ISNUMBER(E12/B12),E12/B12," - ")</f>
        <v>103</v>
      </c>
      <c r="G12" s="403">
        <f>IF(ISNUMBER(IF(J_V="SI",Datos!K12,Datos!K12+Datos!AA12)),IF(J_V="SI",Datos!K12,Datos!K12+Datos!AA12)," - ")</f>
        <v>104</v>
      </c>
      <c r="H12" s="404">
        <f>IF(ISNUMBER(G12/B12),G12/B12," - ")</f>
        <v>104</v>
      </c>
      <c r="I12" s="403">
        <f>IF(ISNUMBER(IF(J_V="SI",Datos!L12,Datos!L12+Datos!AB12)),IF(J_V="SI",Datos!L12,Datos!L12+Datos!AB12)," - ")</f>
        <v>312</v>
      </c>
      <c r="J12" s="404">
        <f>IF(ISNUMBER(I12/B12),I12/B12," - ")</f>
        <v>312</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row>
    <row r="13" spans="1:14" ht="14.25" thickTop="1" thickBot="1">
      <c r="A13" s="848" t="str">
        <f>Datos!A13</f>
        <v>TOTAL</v>
      </c>
      <c r="B13" s="849">
        <f>Datos!AP13</f>
        <v>1</v>
      </c>
      <c r="C13" s="849">
        <f>SUBTOTAL(9,C8:C12)</f>
        <v>309</v>
      </c>
      <c r="D13" s="850" t="str">
        <f>IF(ISNUMBER(C13/Datos!BI13),C13/Datos!BI13," - ")</f>
        <v xml:space="preserve"> - </v>
      </c>
      <c r="E13" s="849">
        <f>SUBTOTAL(9,E8:E12)</f>
        <v>104</v>
      </c>
      <c r="F13" s="850">
        <f>IF(ISNUMBER(E13/B13),E13/B13," - ")</f>
        <v>104</v>
      </c>
      <c r="G13" s="849">
        <f>SUBTOTAL(9,G8:G12)</f>
        <v>106</v>
      </c>
      <c r="H13" s="850">
        <f>IF(ISNUMBER(G13/B13),G13/B13," - ")</f>
        <v>106</v>
      </c>
      <c r="I13" s="849">
        <f>SUBTOTAL(9,I8:I12)</f>
        <v>313</v>
      </c>
      <c r="J13" s="850">
        <f>IF(ISNUMBER(I13/B13),I13/B13," - ")</f>
        <v>313</v>
      </c>
      <c r="K13" s="848">
        <f t="shared" ref="K13" si="0">SUBTOTAL(9,K8:K12)</f>
        <v>0</v>
      </c>
      <c r="L13" s="1102"/>
      <c r="M13" s="848">
        <f>SUBTOTAL(9,M8:M12)</f>
        <v>0</v>
      </c>
      <c r="N13" s="848">
        <f>SUBTOTAL(9,N8:N12)</f>
        <v>0</v>
      </c>
    </row>
    <row r="14" spans="1:14" ht="13.5" thickTop="1">
      <c r="A14" s="396" t="str">
        <f>Datos!A14</f>
        <v xml:space="preserve">Jurisdicción Penal ( 2 ):                      </v>
      </c>
      <c r="B14" s="406"/>
      <c r="C14" s="406"/>
      <c r="D14" s="407"/>
      <c r="E14" s="406"/>
      <c r="F14" s="407"/>
      <c r="G14" s="406"/>
      <c r="H14" s="407"/>
      <c r="I14" s="406"/>
      <c r="J14" s="407"/>
      <c r="K14" s="406"/>
      <c r="L14" s="1103"/>
      <c r="M14" s="408"/>
      <c r="N14" s="409"/>
    </row>
    <row r="15" spans="1:14">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row>
    <row r="16" spans="1:14">
      <c r="A16" s="402" t="str">
        <f>Datos!A16</f>
        <v xml:space="preserve">Jdos. 1ª Instª. e Instr.                        </v>
      </c>
      <c r="B16" s="403">
        <f>Datos!AO16</f>
        <v>1</v>
      </c>
      <c r="C16" s="403">
        <f>IF(ISNUMBER(IF(D_I="SI",Datos!I16,Datos!I16+Datos!AC16)),IF(D_I="SI",Datos!I16,Datos!I16+Datos!AC16)," - ")</f>
        <v>129</v>
      </c>
      <c r="D16" s="404">
        <f>IF(ISNUMBER(C16/Datos!BH16),C16/Datos!BH16," - ")</f>
        <v>129</v>
      </c>
      <c r="E16" s="403">
        <f>IF(ISNUMBER(IF(D_I="SI",Datos!J16,Datos!J16+Datos!AD16)),IF(D_I="SI",Datos!J16,Datos!J16+Datos!AD16)," - ")</f>
        <v>136</v>
      </c>
      <c r="F16" s="404">
        <f>IF(ISNUMBER(E16/B16),E16/B16," - ")</f>
        <v>136</v>
      </c>
      <c r="G16" s="403">
        <f>IF(ISNUMBER(IF(D_I="SI",Datos!K16,Datos!K16+Datos!AE16)),IF(D_I="SI",Datos!K16,Datos!K16+Datos!AE16)," - ")</f>
        <v>140</v>
      </c>
      <c r="H16" s="404">
        <f>IF(ISNUMBER(G16/B16),G16/B16," - ")</f>
        <v>140</v>
      </c>
      <c r="I16" s="403">
        <f>IF(ISNUMBER(IF(D_I="SI",Datos!L16,Datos!L16+Datos!AF16)),IF(D_I="SI",Datos!L16,Datos!L16+Datos!AF16)," - ")</f>
        <v>109</v>
      </c>
      <c r="J16" s="404">
        <f>IF(ISNUMBER(I16/B16),I16/B16," - ")</f>
        <v>109</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row>
    <row r="17" spans="1:14" ht="13.5" thickBot="1">
      <c r="A17" s="402" t="str">
        <f>Datos!A17</f>
        <v>Jdos. Violencia contra la mujer</v>
      </c>
      <c r="B17" s="403">
        <f>Datos!AO17</f>
        <v>1</v>
      </c>
      <c r="C17" s="403">
        <f>IF(ISNUMBER(IF(D_I="SI",Datos!I17,Datos!I17+Datos!AC17)),IF(D_I="SI",Datos!I17,Datos!I17+Datos!AC17)," - ")</f>
        <v>10</v>
      </c>
      <c r="D17" s="404">
        <f>IF(ISNUMBER(C17/Datos!BH17),C17/Datos!BH17," - ")</f>
        <v>10</v>
      </c>
      <c r="E17" s="403">
        <f>IF(ISNUMBER(IF(D_I="SI",Datos!J17,Datos!J17+Datos!AD17)),IF(D_I="SI",Datos!J17,Datos!J17+Datos!AD17)," - ")</f>
        <v>3</v>
      </c>
      <c r="F17" s="404">
        <f>IF(ISNUMBER(E17/B17),E17/B17," - ")</f>
        <v>3</v>
      </c>
      <c r="G17" s="403">
        <f>IF(ISNUMBER(IF(D_I="SI",Datos!K17,Datos!K17+Datos!AE17)),IF(D_I="SI",Datos!K17,Datos!K17+Datos!AE17)," - ")</f>
        <v>0</v>
      </c>
      <c r="H17" s="404">
        <f>IF(ISNUMBER(G17/B17),G17/B17," - ")</f>
        <v>0</v>
      </c>
      <c r="I17" s="403">
        <f>IF(ISNUMBER(IF(D_I="SI",Datos!L17,Datos!L17+Datos!AF17)),IF(D_I="SI",Datos!L17,Datos!L17+Datos!AF17)," - ")</f>
        <v>13</v>
      </c>
      <c r="J17" s="404">
        <f>IF(ISNUMBER(I17/B17),I17/B17," - ")</f>
        <v>13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row>
    <row r="18" spans="1:14" ht="14.25" thickTop="1" thickBot="1">
      <c r="A18" s="848" t="str">
        <f>Datos!A18</f>
        <v>TOTAL</v>
      </c>
      <c r="B18" s="849">
        <f>Datos!AP18</f>
        <v>1</v>
      </c>
      <c r="C18" s="849">
        <f>SUBTOTAL(9,C14:C17)</f>
        <v>139</v>
      </c>
      <c r="D18" s="850" t="str">
        <f>IF(ISNUMBER(C18/Datos!BI18),C18/Datos!BI18," - ")</f>
        <v xml:space="preserve"> - </v>
      </c>
      <c r="E18" s="849">
        <f>SUBTOTAL(9,E14:E17)</f>
        <v>139</v>
      </c>
      <c r="F18" s="850">
        <f>IF(ISNUMBER(E18/B18),E18/B18," - ")</f>
        <v>139</v>
      </c>
      <c r="G18" s="849">
        <f>SUBTOTAL(9,G14:G17)</f>
        <v>140</v>
      </c>
      <c r="H18" s="850">
        <f>IF(ISNUMBER(G18/B18),G18/B18," - ")</f>
        <v>140</v>
      </c>
      <c r="I18" s="849">
        <f>SUBTOTAL(9,I14:I17)</f>
        <v>122</v>
      </c>
      <c r="J18" s="850">
        <f>IF(ISNUMBER(I18/B18),I18/B18," - ")</f>
        <v>122</v>
      </c>
      <c r="K18" s="848">
        <f t="shared" ref="K18" si="1">SUBTOTAL(9,K14:K17)</f>
        <v>0</v>
      </c>
      <c r="L18" s="848"/>
      <c r="M18" s="848">
        <f>SUBTOTAL(9,M14:M17)</f>
        <v>0</v>
      </c>
      <c r="N18" s="848">
        <f>SUBTOTAL(9,N14:N17)</f>
        <v>0</v>
      </c>
    </row>
    <row r="19" spans="1:14" ht="16.5" customHeight="1" thickTop="1" thickBot="1">
      <c r="A19" s="793" t="str">
        <f>Datos!A19</f>
        <v>TOTAL JURISDICCIONES</v>
      </c>
      <c r="B19" s="794">
        <f>Datos!AP19</f>
        <v>1</v>
      </c>
      <c r="C19" s="794">
        <f>SUBTOTAL(9,C9:C18)</f>
        <v>448</v>
      </c>
      <c r="D19" s="795" t="str">
        <f>IF(ISNUMBER(C19/Datos!BI19),C19/Datos!BI19," - ")</f>
        <v xml:space="preserve"> - </v>
      </c>
      <c r="E19" s="794">
        <f>SUBTOTAL(9,E9:E18)</f>
        <v>243</v>
      </c>
      <c r="F19" s="795">
        <f>IF(ISNUMBER(E19/B19),E19/B19," - ")</f>
        <v>243</v>
      </c>
      <c r="G19" s="794">
        <f>SUBTOTAL(9,G9:G18)</f>
        <v>246</v>
      </c>
      <c r="H19" s="795">
        <f>IF(ISNUMBER(G19/B19),G19/B19," - ")</f>
        <v>246</v>
      </c>
      <c r="I19" s="794">
        <f>SUBTOTAL(9,I9:I18)</f>
        <v>435</v>
      </c>
      <c r="J19" s="795">
        <f>IF(ISNUMBER(I19/B19),I19/B19," - ")</f>
        <v>435</v>
      </c>
      <c r="K19" s="796">
        <f t="shared" ref="K19" si="2">SUBTOTAL(9,K9:K18)</f>
        <v>0</v>
      </c>
      <c r="L19" s="796"/>
      <c r="M19" s="796">
        <f>SUBTOTAL(9,M9:M18)</f>
        <v>0</v>
      </c>
      <c r="N19" s="796">
        <f>SUBTOTAL(9,N9:N18)</f>
        <v>0</v>
      </c>
    </row>
    <row r="20" spans="1:14">
      <c r="A20" s="411" t="str">
        <f>IF(J_V="NO","(1) Incluida Jurisdicción Voluntaria","(1) Excluída Jurisdicción Voluntaria")</f>
        <v>(1) Incluida Jurisdicción Voluntaria</v>
      </c>
      <c r="B20" s="412"/>
    </row>
    <row r="21" spans="1:14">
      <c r="A21" s="411" t="str">
        <f>IF(D_I="NO","(2) Incluídas Diligencias Indeterminadas","(2) Excluídas Diligencias Indeterminadas")</f>
        <v>(2) Excluídas Diligencias Indeterminadas</v>
      </c>
      <c r="B21" s="411"/>
    </row>
    <row r="22" spans="1:14">
      <c r="A22" s="1195"/>
      <c r="B22" s="1195"/>
    </row>
    <row r="23" spans="1:14">
      <c r="A23" s="391" t="str">
        <f>Criterios!A4</f>
        <v>Fecha Informe: 29 may. 2024</v>
      </c>
    </row>
    <row r="27" spans="1:14">
      <c r="A27" s="414"/>
    </row>
  </sheetData>
  <sheetProtection algorithmName="SHA-512" hashValue="QFtjdIdMkaBvKg9jnrXQ3lp0fzseT4nSsjPdcrRj1UsstkRbXpTa/qgOmVIzs/iHSmrq1kdovwVdG5NprZGITQ==" saltValue="s8ev5yjysN0hNXUCYTjAB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ASTURIAS</v>
      </c>
      <c r="C2" s="375"/>
      <c r="E2" s="375"/>
      <c r="F2" s="375"/>
      <c r="G2" s="375"/>
      <c r="H2" s="375"/>
    </row>
    <row r="3" spans="1:15" ht="39">
      <c r="A3" s="415" t="s">
        <v>218</v>
      </c>
      <c r="B3" s="391" t="str">
        <f>Criterios!A10 &amp;"  "&amp;Criterios!B10</f>
        <v>Provincias  ASTURIAS</v>
      </c>
      <c r="C3" s="415"/>
      <c r="F3" s="375"/>
      <c r="G3" s="375"/>
      <c r="H3" s="375"/>
    </row>
    <row r="4" spans="1:15" ht="13.5" thickBot="1">
      <c r="A4" s="375"/>
      <c r="B4" s="391" t="str">
        <f>Criterios!A11 &amp;"  "&amp;Criterios!B11</f>
        <v>Resumenes por Partidos Judiciales  TINEO</v>
      </c>
      <c r="C4" s="375"/>
      <c r="E4" s="375"/>
      <c r="F4" s="375"/>
      <c r="G4" s="375"/>
      <c r="H4" s="375"/>
    </row>
    <row r="5" spans="1:15" ht="15.75" customHeight="1">
      <c r="A5" s="1208" t="str">
        <f>"Año:  " &amp;Criterios!B5</f>
        <v>Año:  2024</v>
      </c>
      <c r="B5" s="1198" t="s">
        <v>205</v>
      </c>
      <c r="C5" s="1211"/>
      <c r="D5" s="1198" t="s">
        <v>222</v>
      </c>
      <c r="E5" s="1216"/>
      <c r="F5" s="1211"/>
      <c r="G5" s="1198" t="s">
        <v>207</v>
      </c>
      <c r="H5" s="1199"/>
      <c r="I5" s="1198" t="s">
        <v>208</v>
      </c>
      <c r="J5" s="1199"/>
      <c r="K5" s="1198" t="s">
        <v>209</v>
      </c>
      <c r="L5" s="1210"/>
      <c r="M5" s="1211"/>
    </row>
    <row r="6" spans="1:15" ht="21.75" customHeight="1" thickBot="1">
      <c r="A6" s="1209"/>
      <c r="B6" s="1214"/>
      <c r="C6" s="1215"/>
      <c r="D6" s="1217"/>
      <c r="E6" s="1218"/>
      <c r="F6" s="1219"/>
      <c r="G6" s="1200"/>
      <c r="H6" s="1201"/>
      <c r="I6" s="1200"/>
      <c r="J6" s="1201"/>
      <c r="K6" s="1200"/>
      <c r="L6" s="1212"/>
      <c r="M6" s="1213"/>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5"/>
      <c r="B22" s="1195"/>
      <c r="C22" s="1195"/>
      <c r="D22" s="1195"/>
    </row>
    <row r="23" spans="1:13">
      <c r="A23" s="391" t="str">
        <f>Criterios!A4</f>
        <v>Fecha Informe: 29 may. 2024</v>
      </c>
      <c r="B23" s="391"/>
      <c r="C23" s="391"/>
    </row>
    <row r="27" spans="1:13">
      <c r="A27" s="414"/>
      <c r="B27" s="414"/>
      <c r="C27" s="414"/>
    </row>
  </sheetData>
  <sheetProtection algorithmName="SHA-512" hashValue="qaVSmWuV0tJD6Vvva5vSf24kzNcdUKzWKG5+fVmS6MDtiKPP5UOGRyWEzTkGUdzFk6JcxDIkjgkOtun+EcO8sg==" saltValue="+3kvwJ5fYUD55p/CE/2G7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I27"/>
  <sheetViews>
    <sheetView zoomScale="85" zoomScaleNormal="85" workbookViewId="0"/>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16384" width="11.42578125" style="372"/>
  </cols>
  <sheetData>
    <row r="1" spans="1:9" ht="105" customHeight="1">
      <c r="G1" s="424"/>
    </row>
    <row r="2" spans="1:9" ht="18.75" customHeight="1">
      <c r="B2" s="389" t="str">
        <f>Criterios!A9 &amp;"  "&amp;Criterios!B9</f>
        <v>Tribunales de Justicia  ASTURIAS</v>
      </c>
      <c r="C2" s="391"/>
    </row>
    <row r="3" spans="1:9" ht="19.5">
      <c r="A3" s="425" t="s">
        <v>11</v>
      </c>
      <c r="B3" s="391" t="str">
        <f>Criterios!A10 &amp;"  "&amp;Criterios!B10</f>
        <v>Provincias  ASTURIAS</v>
      </c>
      <c r="C3" s="391"/>
      <c r="D3" s="425"/>
    </row>
    <row r="4" spans="1:9" ht="13.5" thickBot="1">
      <c r="B4" s="391" t="str">
        <f>Criterios!A11 &amp;"  "&amp;Criterios!B11</f>
        <v>Resumenes por Partidos Judiciales  TINEO</v>
      </c>
    </row>
    <row r="5" spans="1:9" ht="15.75" customHeight="1">
      <c r="A5" s="1208" t="str">
        <f>"Año:  " &amp;Criterios!B5 &amp; "                  Trimestre   " &amp;Criterios!D5 &amp; " al " &amp;Criterios!D6</f>
        <v>Año:  2024                  Trimestre   1 al 1</v>
      </c>
      <c r="B5" s="1220" t="s">
        <v>116</v>
      </c>
      <c r="C5" s="1220" t="s">
        <v>123</v>
      </c>
      <c r="D5" s="1198" t="s">
        <v>86</v>
      </c>
      <c r="E5" s="1199"/>
      <c r="F5" s="1198" t="s">
        <v>87</v>
      </c>
      <c r="G5" s="1203"/>
      <c r="H5" s="1198" t="s">
        <v>232</v>
      </c>
      <c r="I5" s="1203"/>
    </row>
    <row r="6" spans="1:9" ht="14.25" customHeight="1" thickBot="1">
      <c r="A6" s="1209"/>
      <c r="B6" s="1221"/>
      <c r="C6" s="1221"/>
      <c r="D6" s="1200"/>
      <c r="E6" s="1201"/>
      <c r="F6" s="1200"/>
      <c r="G6" s="1204"/>
      <c r="H6" s="1200"/>
      <c r="I6" s="1204"/>
    </row>
    <row r="7" spans="1:9" ht="46.5" customHeight="1" thickTop="1" thickBot="1">
      <c r="A7" s="392" t="str">
        <f>Datos!A7</f>
        <v>COMPETENCIAS</v>
      </c>
      <c r="B7" s="416" t="s">
        <v>117</v>
      </c>
      <c r="C7" s="416" t="s">
        <v>117</v>
      </c>
      <c r="D7" s="394" t="s">
        <v>93</v>
      </c>
      <c r="E7" s="395" t="s">
        <v>6</v>
      </c>
      <c r="F7" s="394" t="s">
        <v>94</v>
      </c>
      <c r="G7" s="395" t="s">
        <v>6</v>
      </c>
      <c r="H7" s="394" t="s">
        <v>233</v>
      </c>
      <c r="I7" s="395" t="s">
        <v>6</v>
      </c>
    </row>
    <row r="8" spans="1:9">
      <c r="A8" s="396" t="str">
        <f>Datos!A8</f>
        <v>Jurisdicción Civil ( 1 ):</v>
      </c>
      <c r="B8" s="426"/>
      <c r="C8" s="400"/>
      <c r="D8" s="398"/>
      <c r="E8" s="400"/>
      <c r="F8" s="398"/>
      <c r="G8" s="399"/>
      <c r="H8" s="398"/>
      <c r="I8" s="399"/>
    </row>
    <row r="9" spans="1:9">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row>
    <row r="10" spans="1:9">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row>
    <row r="11" spans="1:9">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row>
    <row r="12" spans="1:9" ht="13.5" thickBot="1">
      <c r="A12" s="402" t="str">
        <f>Datos!A12</f>
        <v xml:space="preserve">Jdos. 1ª Instª. e Instr.                        </v>
      </c>
      <c r="B12" s="427">
        <f>Datos!AO12</f>
        <v>1</v>
      </c>
      <c r="C12" s="410">
        <f>Datos!AQ12</f>
        <v>1</v>
      </c>
      <c r="D12" s="403">
        <f>IF(ISNUMBER(Datos!M12),Datos!M12," - ")</f>
        <v>19</v>
      </c>
      <c r="E12" s="404">
        <f t="shared" si="0"/>
        <v>19</v>
      </c>
      <c r="F12" s="403">
        <f>IF(ISNUMBER(Datos!N12),Datos!N12," - ")</f>
        <v>52</v>
      </c>
      <c r="G12" s="404">
        <f t="shared" si="1"/>
        <v>52</v>
      </c>
      <c r="H12" s="403">
        <f>IF(ISNUMBER(Datos!O12),Datos!O12," - ")</f>
        <v>39</v>
      </c>
      <c r="I12" s="404">
        <f t="shared" si="2"/>
        <v>39</v>
      </c>
    </row>
    <row r="13" spans="1:9" ht="14.25" thickTop="1" thickBot="1">
      <c r="A13" s="848" t="str">
        <f>Datos!A13</f>
        <v>TOTAL</v>
      </c>
      <c r="B13" s="849">
        <f>Datos!AO13</f>
        <v>2</v>
      </c>
      <c r="C13" s="851">
        <f>Datos!AR13</f>
        <v>1</v>
      </c>
      <c r="D13" s="849">
        <f>SUBTOTAL(9,D9:D12)</f>
        <v>19</v>
      </c>
      <c r="E13" s="850">
        <f t="shared" si="0"/>
        <v>9.5</v>
      </c>
      <c r="F13" s="849">
        <f>SUBTOTAL(9,F9:F12)</f>
        <v>52</v>
      </c>
      <c r="G13" s="850">
        <f t="shared" si="1"/>
        <v>26</v>
      </c>
      <c r="H13" s="849">
        <f>SUBTOTAL(9,H9:H12)</f>
        <v>39</v>
      </c>
      <c r="I13" s="850">
        <f>IF(ISNUMBER(H13/B13),H13/B13," - ")</f>
        <v>19.5</v>
      </c>
    </row>
    <row r="14" spans="1:9" ht="13.5" thickTop="1">
      <c r="A14" s="396" t="str">
        <f>Datos!A14</f>
        <v xml:space="preserve">Jurisdicción Penal ( 2 ):                      </v>
      </c>
      <c r="B14" s="427">
        <f>Datos!AO14</f>
        <v>0</v>
      </c>
      <c r="C14" s="408"/>
      <c r="D14" s="406"/>
      <c r="E14" s="407"/>
      <c r="F14" s="406"/>
      <c r="G14" s="407"/>
      <c r="H14" s="406"/>
      <c r="I14" s="407"/>
    </row>
    <row r="15" spans="1:9">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row>
    <row r="16" spans="1:9">
      <c r="A16" s="402" t="str">
        <f>Datos!A16</f>
        <v xml:space="preserve">Jdos. 1ª Instª. e Instr.                        </v>
      </c>
      <c r="B16" s="427">
        <f>Datos!AO16</f>
        <v>1</v>
      </c>
      <c r="C16" s="428">
        <f>Datos!AQ16</f>
        <v>1</v>
      </c>
      <c r="D16" s="403">
        <f>IF(ISNUMBER(Datos!M16),Datos!M16," - ")</f>
        <v>11</v>
      </c>
      <c r="E16" s="404">
        <f t="shared" si="3"/>
        <v>11</v>
      </c>
      <c r="F16" s="403">
        <f>IF(ISNUMBER(Datos!N16),Datos!N16," - ")</f>
        <v>101</v>
      </c>
      <c r="G16" s="404">
        <f t="shared" si="4"/>
        <v>101</v>
      </c>
      <c r="H16" s="403">
        <f>IF(ISNUMBER(Datos!O16),Datos!O16," - ")</f>
        <v>0</v>
      </c>
      <c r="I16" s="404">
        <f t="shared" si="5"/>
        <v>0</v>
      </c>
    </row>
    <row r="17" spans="1:9" ht="13.5" thickBot="1">
      <c r="A17" s="402" t="str">
        <f>Datos!A17</f>
        <v>Jdos. Violencia contra la mujer</v>
      </c>
      <c r="B17" s="427">
        <f>Datos!AO17</f>
        <v>1</v>
      </c>
      <c r="C17" s="428">
        <f>Datos!AQ17</f>
        <v>0</v>
      </c>
      <c r="D17" s="403">
        <f>IF(ISNUMBER(Datos!M17),Datos!M17," - ")</f>
        <v>0</v>
      </c>
      <c r="E17" s="404">
        <f>IF(ISNUMBER(D17/B17),D17/B17," - ")</f>
        <v>0</v>
      </c>
      <c r="F17" s="403">
        <f>IF(ISNUMBER(Datos!N17),Datos!N17," - ")</f>
        <v>3</v>
      </c>
      <c r="G17" s="404">
        <f>IF(ISNUMBER(F17/B17),F17/B17," - ")</f>
        <v>3</v>
      </c>
      <c r="H17" s="403">
        <f>IF(ISNUMBER(Datos!O17),Datos!O17," - ")</f>
        <v>0</v>
      </c>
      <c r="I17" s="404">
        <f t="shared" si="5"/>
        <v>0</v>
      </c>
    </row>
    <row r="18" spans="1:9" ht="14.25" thickTop="1" thickBot="1">
      <c r="A18" s="848" t="str">
        <f>Datos!A18</f>
        <v>TOTAL</v>
      </c>
      <c r="B18" s="849">
        <f>Datos!AO18</f>
        <v>2</v>
      </c>
      <c r="C18" s="851">
        <f>Datos!AR18</f>
        <v>1</v>
      </c>
      <c r="D18" s="849">
        <f>SUBTOTAL(9,D15:D17)</f>
        <v>11</v>
      </c>
      <c r="E18" s="850">
        <f t="shared" si="3"/>
        <v>5.5</v>
      </c>
      <c r="F18" s="849">
        <f>SUBTOTAL(9,F15:F17)</f>
        <v>104</v>
      </c>
      <c r="G18" s="850">
        <f t="shared" si="4"/>
        <v>52</v>
      </c>
      <c r="H18" s="849">
        <f>SUBTOTAL(9,H15:H17)</f>
        <v>0</v>
      </c>
      <c r="I18" s="850">
        <f>IF(ISNUMBER(H18/B18),H18/B18," - ")</f>
        <v>0</v>
      </c>
    </row>
    <row r="19" spans="1:9" ht="14.25" thickTop="1" thickBot="1">
      <c r="A19" s="793" t="str">
        <f>Datos!A19</f>
        <v>TOTAL JURISDICCIONES</v>
      </c>
      <c r="B19" s="794">
        <f>Datos!AP19</f>
        <v>1</v>
      </c>
      <c r="C19" s="794">
        <f>Datos!AR19</f>
        <v>1</v>
      </c>
      <c r="D19" s="794">
        <f>SUBTOTAL(9,D8:D18)</f>
        <v>30</v>
      </c>
      <c r="E19" s="795">
        <f>IF(ISNUMBER(D19/B19),D19/B19," - ")</f>
        <v>30</v>
      </c>
      <c r="F19" s="794">
        <f>SUBTOTAL(9,F8:F18)</f>
        <v>156</v>
      </c>
      <c r="G19" s="795">
        <f>IF(ISNUMBER(F19/B19),F19/B19," - ")</f>
        <v>156</v>
      </c>
      <c r="H19" s="794">
        <f>SUBTOTAL(9,H8:H18)</f>
        <v>39</v>
      </c>
      <c r="I19" s="795">
        <f>IF(ISNUMBER(H19/B19),H19/B19," - ")</f>
        <v>39</v>
      </c>
    </row>
    <row r="22" spans="1:9">
      <c r="A22" s="391" t="str">
        <f>Criterios!A4</f>
        <v>Fecha Informe: 29 may. 2024</v>
      </c>
    </row>
    <row r="27" spans="1:9">
      <c r="A27" s="414"/>
    </row>
  </sheetData>
  <sheetProtection algorithmName="SHA-512" hashValue="HsGu94WpdfjnZ0rYZ+WMYt5uFX4jwxBi7F4zc1vaoZjYB/hj+poeSWFIR01cbsFLcZI262hqQoF6uUVztGTI2A==" saltValue="ZrpFyC+TG5I6wpCmpBv2Y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ASTURIAS</v>
      </c>
    </row>
    <row r="3" spans="1:4" ht="19.5">
      <c r="A3" s="429" t="s">
        <v>32</v>
      </c>
      <c r="B3" s="391" t="str">
        <f>Criterios!A10 &amp;"  "&amp;Criterios!B10</f>
        <v>Provincias  ASTURIAS</v>
      </c>
    </row>
    <row r="4" spans="1:4" ht="13.5" thickBot="1">
      <c r="B4" s="391" t="str">
        <f>Criterios!A11 &amp;"  "&amp;Criterios!B11</f>
        <v>Resumenes por Partidos Judiciales  TINEO</v>
      </c>
    </row>
    <row r="5" spans="1:4" ht="12.75" customHeight="1">
      <c r="A5" s="1208" t="str">
        <f>"Año:  " &amp;Criterios!B5 &amp; "                  Trimestre   " &amp;Criterios!D5 &amp; " al " &amp;Criterios!D6</f>
        <v>Año:  2024                  Trimestre   1 al 1</v>
      </c>
      <c r="B5" s="1222" t="s">
        <v>10</v>
      </c>
      <c r="C5" s="1222" t="s">
        <v>14</v>
      </c>
      <c r="D5" s="1222" t="s">
        <v>129</v>
      </c>
    </row>
    <row r="6" spans="1:4" ht="15.75" customHeight="1">
      <c r="A6" s="1209"/>
      <c r="B6" s="1223"/>
      <c r="C6" s="1223"/>
      <c r="D6" s="1223"/>
    </row>
    <row r="7" spans="1:4" ht="26.25" customHeight="1" thickBot="1">
      <c r="A7" s="392" t="str">
        <f>Datos!A7</f>
        <v>COMPETENCIAS</v>
      </c>
      <c r="B7" s="1224"/>
      <c r="C7" s="1224"/>
      <c r="D7" s="1224"/>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23</v>
      </c>
      <c r="C12" s="434">
        <f>IF(ISNUMBER(Datos!Q12),Datos!Q12," - ")</f>
        <v>11</v>
      </c>
      <c r="D12" s="408">
        <f>IF(ISNUMBER(Datos!R12),Datos!R12," - ")</f>
        <v>462</v>
      </c>
    </row>
    <row r="13" spans="1:4" ht="14.25" thickTop="1" thickBot="1">
      <c r="A13" s="848" t="str">
        <f>Datos!A13</f>
        <v>TOTAL</v>
      </c>
      <c r="B13" s="849">
        <f>SUBTOTAL(9,B9:B12)</f>
        <v>23</v>
      </c>
      <c r="C13" s="853">
        <f>SUBTOTAL(9,C9:C12)</f>
        <v>11</v>
      </c>
      <c r="D13" s="851">
        <f>SUBTOTAL(9,D9:D12)</f>
        <v>462</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v>
      </c>
      <c r="C16" s="434">
        <f>IF(ISNUMBER(Datos!Q16),Datos!Q16," - ")</f>
        <v>7</v>
      </c>
      <c r="D16" s="408">
        <f>IF(ISNUMBER(Datos!R16),Datos!R16," - ")</f>
        <v>11</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2</v>
      </c>
      <c r="C18" s="853">
        <f>SUBTOTAL(9,C15:C17)</f>
        <v>7</v>
      </c>
      <c r="D18" s="851">
        <f>SUBTOTAL(9,D15:D17)</f>
        <v>11</v>
      </c>
    </row>
    <row r="19" spans="1:4" ht="16.5" customHeight="1" thickTop="1" thickBot="1">
      <c r="A19" s="793" t="str">
        <f>Datos!A19</f>
        <v>TOTAL JURISDICCIONES</v>
      </c>
      <c r="B19" s="798">
        <f>SUBTOTAL(9,B8:B18)</f>
        <v>25</v>
      </c>
      <c r="C19" s="799">
        <f>SUBTOTAL(9,C8:C18)</f>
        <v>18</v>
      </c>
      <c r="D19" s="800">
        <f>SUBTOTAL(9,D8:D18)</f>
        <v>473</v>
      </c>
    </row>
    <row r="20" spans="1:4" ht="7.5" customHeight="1"/>
    <row r="21" spans="1:4" ht="6" customHeight="1"/>
    <row r="22" spans="1:4">
      <c r="A22" s="391" t="str">
        <f>Criterios!A4</f>
        <v>Fecha Informe: 29 may. 2024</v>
      </c>
    </row>
    <row r="27" spans="1:4">
      <c r="A27" s="414"/>
    </row>
  </sheetData>
  <sheetProtection algorithmName="SHA-512" hashValue="gn5ZmUnEXCzVNPNha6thbJzR4rL72FV+bc1SK1Af/XDNKnsJiFOJnRsQjmGCRIb+JJ+rybH3WRGUOmEVAEt86g==" saltValue="AMfd47muS79/W0BiDJY85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ASTURIAS</v>
      </c>
    </row>
    <row r="3" spans="1:11" ht="18.75" customHeight="1">
      <c r="A3" s="429" t="s">
        <v>118</v>
      </c>
      <c r="B3" s="391" t="str">
        <f>Criterios!A10 &amp;"  "&amp;Criterios!B10</f>
        <v>Provincias  ASTURIAS</v>
      </c>
    </row>
    <row r="4" spans="1:11" ht="10.5" customHeight="1" thickBot="1">
      <c r="B4" s="391" t="str">
        <f>Criterios!A11 &amp;"  "&amp;Criterios!B11</f>
        <v>Resumenes por Partidos Judiciales  TINEO</v>
      </c>
    </row>
    <row r="5" spans="1:11" ht="12.75" customHeight="1">
      <c r="A5" s="1208" t="str">
        <f>"Año:  " &amp;Criterios!B5 &amp; "    Trimestre   " &amp;Criterios!D5 &amp; " al " &amp;Criterios!D6</f>
        <v>Año:  2024    Trimestre   1 al 1</v>
      </c>
      <c r="B5" s="1240" t="s">
        <v>128</v>
      </c>
      <c r="C5" s="1205" t="s">
        <v>13</v>
      </c>
      <c r="D5" s="1189" t="s">
        <v>9</v>
      </c>
      <c r="E5" s="1189" t="s">
        <v>129</v>
      </c>
      <c r="F5" s="1205" t="s">
        <v>7</v>
      </c>
      <c r="G5" s="1227" t="s">
        <v>8</v>
      </c>
      <c r="H5" s="1220" t="s">
        <v>119</v>
      </c>
      <c r="I5" s="1232" t="s">
        <v>120</v>
      </c>
      <c r="J5" s="1235" t="s">
        <v>121</v>
      </c>
      <c r="K5" s="1202" t="s">
        <v>122</v>
      </c>
    </row>
    <row r="6" spans="1:11" ht="12.75" customHeight="1">
      <c r="A6" s="1209"/>
      <c r="B6" s="1241"/>
      <c r="C6" s="1206"/>
      <c r="D6" s="1190"/>
      <c r="E6" s="1190"/>
      <c r="F6" s="1206"/>
      <c r="G6" s="1228"/>
      <c r="H6" s="1230"/>
      <c r="I6" s="1233"/>
      <c r="J6" s="1236"/>
      <c r="K6" s="1238"/>
    </row>
    <row r="7" spans="1:11" ht="23.25" customHeight="1" thickBot="1">
      <c r="A7" s="392" t="str">
        <f>Datos!A7</f>
        <v>COMPETENCIAS</v>
      </c>
      <c r="B7" s="1242"/>
      <c r="C7" s="1207"/>
      <c r="D7" s="1191"/>
      <c r="E7" s="1191"/>
      <c r="F7" s="1207"/>
      <c r="G7" s="1229"/>
      <c r="H7" s="1231"/>
      <c r="I7" s="1234"/>
      <c r="J7" s="1237"/>
      <c r="K7" s="1239"/>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f>IF(ISNUMBER((Datos!J10-Datos!T10)/Datos!T10),(Datos!J10-Datos!T10)/Datos!T10," - ")</f>
        <v>-0.66666666666666663</v>
      </c>
      <c r="D10" s="456" t="str">
        <f>IF(ISNUMBER((Datos!K10-Datos!U10)/Datos!U10),(Datos!K10-Datos!U10)/Datos!U10," - ")</f>
        <v xml:space="preserve"> - </v>
      </c>
      <c r="E10" s="456">
        <f>IF(ISNUMBER((Datos!L10-Datos!V10)/Datos!V10),(Datos!L10-Datos!V10)/Datos!V10," - ")</f>
        <v>-0.66666666666666663</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0.3705357142857143</v>
      </c>
      <c r="C12" s="456">
        <f>IF(ISNUMBER(
   IF(J_V="SI",(Datos!J12-Datos!T12)/Datos!T12,(Datos!J12+Datos!Z12-(Datos!T12+Datos!AH12))/(Datos!T12+Datos!AH12))
     ),IF(J_V="SI",(Datos!J12-Datos!T12)/Datos!T12,(Datos!J12+Datos!Z12-(Datos!T12+Datos!AH12))/(Datos!T12+Datos!AH12))," - ")</f>
        <v>0.27160493827160492</v>
      </c>
      <c r="D12" s="456">
        <f>IF(ISNUMBER(
   IF(J_V="SI",(Datos!K12-Datos!U12)/Datos!U12,(Datos!K12+Datos!AA12-(Datos!U12+Datos!AI12))/(Datos!U12+Datos!AI12))
     ),IF(J_V="SI",(Datos!K12-Datos!U12)/Datos!U12,(Datos!K12+Datos!AA12-(Datos!U12+Datos!AI12))/(Datos!U12+Datos!AI12))," - ")</f>
        <v>0.3</v>
      </c>
      <c r="E12" s="456">
        <f>IF(ISNUMBER(
   IF(J_V="SI",(Datos!L12-Datos!V12)/Datos!V12,(Datos!L12+Datos!AB12-(Datos!V12+Datos!AJ12))/(Datos!V12+Datos!AJ12))
     ),IF(J_V="SI",(Datos!L12-Datos!V12)/Datos!V12,(Datos!L12+Datos!AB12-(Datos!V12+Datos!AJ12))/(Datos!V12+Datos!AJ12))," - ")</f>
        <v>0.38666666666666666</v>
      </c>
      <c r="F12" s="456">
        <f>IF(ISNUMBER((Datos!M12-Datos!W12)/Datos!W12),(Datos!M12-Datos!W12)/Datos!W12," - ")</f>
        <v>0.26666666666666666</v>
      </c>
      <c r="G12" s="457">
        <f>IF(ISNUMBER((Datos!N12-Datos!X12)/Datos!X12),(Datos!N12-Datos!X12)/Datos!X12," - ")</f>
        <v>0.15555555555555556</v>
      </c>
      <c r="H12" s="455">
        <f>IF(ISNUMBER(((NºAsuntos!G12/NºAsuntos!E12)-Datos!BD12)/Datos!BD12),((NºAsuntos!G12/NºAsuntos!E12)-Datos!BD12)/Datos!BD12," - ")</f>
        <v>2.2330097087378695E-2</v>
      </c>
      <c r="I12" s="456">
        <f>IF(ISNUMBER(((NºAsuntos!I12/NºAsuntos!G12)-Datos!BE12)/Datos!BE12),((NºAsuntos!I12/NºAsuntos!G12)-Datos!BE12)/Datos!BE12," - ")</f>
        <v>6.6666666666666666E-2</v>
      </c>
      <c r="J12" s="461">
        <f>IF(ISNUMBER((('Resol  Asuntos'!D12/NºAsuntos!G12)-Datos!BF12)/Datos!BF12),(('Resol  Asuntos'!D12/NºAsuntos!G12)-Datos!BF12)/Datos!BF12," - ")</f>
        <v>-0.67521367521367515</v>
      </c>
      <c r="K12" s="462">
        <f>IF(ISNUMBER((((NºAsuntos!C12+NºAsuntos!E12)/NºAsuntos!G12)-Datos!BG12)/Datos!BG12),(((NºAsuntos!C12+NºAsuntos!E12)/NºAsuntos!G12)-Datos!BG12)/Datos!BG12," - ")</f>
        <v>3.4047919293820984E-2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0.3794642857142857</v>
      </c>
      <c r="C13" s="855">
        <f>IF(ISNUMBER(
   IF(J_V="SI",(Datos!J13-Datos!T13)/Datos!T13,(Datos!J13+Datos!Z13-(Datos!T13+Datos!AH13))/(Datos!T13+Datos!AH13))
     ),IF(J_V="SI",(Datos!J13-Datos!T13)/Datos!T13,(Datos!J13+Datos!Z13-(Datos!T13+Datos!AH13))/(Datos!T13+Datos!AH13))," - ")</f>
        <v>0.23809523809523808</v>
      </c>
      <c r="D13" s="855">
        <f>IF(ISNUMBER(
   IF(J_V="SI",(Datos!K13-Datos!U13)/Datos!U13,(Datos!K13+Datos!AA13-(Datos!U13+Datos!AI13))/(Datos!U13+Datos!AI13))
     ),IF(J_V="SI",(Datos!K13-Datos!U13)/Datos!U13,(Datos!K13+Datos!AA13-(Datos!U13+Datos!AI13))/(Datos!U13+Datos!AI13))," - ")</f>
        <v>0.32500000000000001</v>
      </c>
      <c r="E13" s="855">
        <f>IF(ISNUMBER(
   IF(J_V="SI",(Datos!L13-Datos!V13)/Datos!V13,(Datos!L13+Datos!AB13-(Datos!V13+Datos!AJ13))/(Datos!V13+Datos!AJ13))
     ),IF(J_V="SI",(Datos!L13-Datos!V13)/Datos!V13,(Datos!L13+Datos!AB13-(Datos!V13+Datos!AJ13))/(Datos!V13+Datos!AJ13))," - ")</f>
        <v>0.37280701754385964</v>
      </c>
      <c r="F13" s="856">
        <f>IF(ISNUMBER((Datos!M13-Datos!W13)/Datos!W13),(Datos!M13-Datos!W13)/Datos!W13," - ")</f>
        <v>0.26666666666666666</v>
      </c>
      <c r="G13" s="857">
        <f>IF(ISNUMBER((Datos!N13-Datos!X13)/Datos!X13),(Datos!N13-Datos!X13)/Datos!X13," - ")</f>
        <v>0.15555555555555556</v>
      </c>
      <c r="H13" s="857">
        <f>IF(ISNUMBER(((NºAsuntos!G13/NºAsuntos!E13)-Datos!BD13)/Datos!BD13),((NºAsuntos!G13/NºAsuntos!E13)-Datos!BD13)/Datos!BD13," - ")</f>
        <v>7.0192307692307679E-2</v>
      </c>
      <c r="I13" s="857">
        <f>IF(ISNUMBER(((NºAsuntos!I13/NºAsuntos!G13)-Datos!BE13)/Datos!BE13),((NºAsuntos!I13/NºAsuntos!G13)-Datos!BE13)/Datos!BE13," - ")</f>
        <v>3.6080767957629857E-2</v>
      </c>
      <c r="J13" s="857">
        <f>IF(ISNUMBER((('Resol  Asuntos'!D13/NºAsuntos!G13)-Datos!BF13)/Datos!BF13),(('Resol  Asuntos'!D13/NºAsuntos!G13)-Datos!BF13)/Datos!BF13," - ")</f>
        <v>-0.68134171907756824</v>
      </c>
      <c r="K13" s="857">
        <f>IF(ISNUMBER((((NºAsuntos!C13+NºAsuntos!E13)/NºAsuntos!G13)-Datos!BG13)/Datos!BG13),(((NºAsuntos!C13+NºAsuntos!E13)/NºAsuntos!G13)-Datos!BG13)/Datos!BG13," - ")</f>
        <v>1.2006861063464849E-2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4.0322580645161289E-2</v>
      </c>
      <c r="C16" s="456">
        <f>IF(ISNUMBER(
   IF(D_I="SI",(Datos!J16-Datos!T16)/Datos!T16,(Datos!J16+Datos!AD16-(Datos!T16+Datos!AL16))/(Datos!T16+Datos!AL16))
     ),IF(D_I="SI",(Datos!J16-Datos!T16)/Datos!T16,(Datos!J16+Datos!AD16-(Datos!T16+Datos!AL16))/(Datos!T16+Datos!AL16))," - ")</f>
        <v>-0.16049382716049382</v>
      </c>
      <c r="D16" s="456">
        <f>IF(ISNUMBER(
   IF(D_I="SI",(Datos!K16-Datos!U16)/Datos!U16,(Datos!K16+Datos!AE16-(Datos!U16+Datos!AM16))/(Datos!U16+Datos!AM16))
     ),IF(D_I="SI",(Datos!K16-Datos!U16)/Datos!U16,(Datos!K16+Datos!AE16-(Datos!U16+Datos!AM16))/(Datos!U16+Datos!AM16))," - ")</f>
        <v>-9.6774193548387094E-2</v>
      </c>
      <c r="E16" s="456">
        <f>IF(ISNUMBER(
   IF(D_I="SI",(Datos!L16-Datos!V16)/Datos!V16,(Datos!L16+Datos!AF16-(Datos!V16+Datos!AN16))/(Datos!V16+Datos!AN16))
     ),IF(D_I="SI",(Datos!L16-Datos!V16)/Datos!V16,(Datos!L16+Datos!AF16-(Datos!V16+Datos!AN16))/(Datos!V16+Datos!AN16))," - ")</f>
        <v>-0.18656716417910449</v>
      </c>
      <c r="F16" s="456">
        <f>IF(ISNUMBER((Datos!M16-Datos!W16)/Datos!W16),(Datos!M16-Datos!W16)/Datos!W16," - ")</f>
        <v>0.83333333333333337</v>
      </c>
      <c r="G16" s="457">
        <f>IF(ISNUMBER((Datos!N16-Datos!X16)/Datos!X16),(Datos!N16-Datos!X16)/Datos!X16," - ")</f>
        <v>-0.1721311475409836</v>
      </c>
      <c r="H16" s="455">
        <f>IF(ISNUMBER(((NºAsuntos!G16/NºAsuntos!E16)-Datos!BD16)/Datos!BD16),((NºAsuntos!G16/NºAsuntos!E16)-Datos!BD16)/Datos!BD16," - ")</f>
        <v>7.5901328273244639E-2</v>
      </c>
      <c r="I16" s="456">
        <f>IF(ISNUMBER(((NºAsuntos!I16/NºAsuntos!G16)-Datos!BE16)/Datos!BE16),((NºAsuntos!I16/NºAsuntos!G16)-Datos!BE16)/Datos!BE16," - ")</f>
        <v>-9.941364605543708E-2</v>
      </c>
      <c r="J16" s="461">
        <f>IF(ISNUMBER((('Resol  Asuntos'!D16/NºAsuntos!G16)-Datos!BF16)/Datos!BF16),(('Resol  Asuntos'!D16/NºAsuntos!G16)-Datos!BF16)/Datos!BF16," - ")</f>
        <v>1.0297619047619047</v>
      </c>
      <c r="K16" s="462">
        <f>IF(ISNUMBER((((NºAsuntos!C16+NºAsuntos!E16)/NºAsuntos!G16)-Datos!BG16)/Datos!BG16),(((NºAsuntos!C16+NºAsuntos!E16)/NºAsuntos!G16)-Datos!BG16)/Datos!BG16," - ")</f>
        <v>2.5849150849150789E-2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2.3333333333333335</v>
      </c>
      <c r="C17" s="456">
        <f>IF(ISNUMBER(
   IF(D_I="SI",(Datos!J17-Datos!T17)/Datos!T17,(Datos!J17+Datos!AD17-(Datos!T17+Datos!AL17))/(Datos!T17+Datos!AL17))
     ),IF(D_I="SI",(Datos!J17-Datos!T17)/Datos!T17,(Datos!J17+Datos!AD17-(Datos!T17+Datos!AL17))/(Datos!T17+Datos!AL17))," - ")</f>
        <v>-0.72727272727272729</v>
      </c>
      <c r="D17" s="456">
        <f>IF(ISNUMBER(
   IF(D_I="SI",(Datos!K17-Datos!U17)/Datos!U17,(Datos!K17+Datos!AE17-(Datos!U17+Datos!AM17))/(Datos!U17+Datos!AM17))
     ),IF(D_I="SI",(Datos!K17-Datos!U17)/Datos!U17,(Datos!K17+Datos!AE17-(Datos!U17+Datos!AM17))/(Datos!U17+Datos!AM17))," - ")</f>
        <v>-1</v>
      </c>
      <c r="E17" s="456">
        <f>IF(ISNUMBER(
   IF(D_I="SI",(Datos!L17-Datos!V17)/Datos!V17,(Datos!L17+Datos!AF17-(Datos!V17+Datos!AN17))/(Datos!V17+Datos!AN17))
     ),IF(D_I="SI",(Datos!L17-Datos!V17)/Datos!V17,(Datos!L17+Datos!AF17-(Datos!V17+Datos!AN17))/(Datos!V17+Datos!AN17))," - ")</f>
        <v>0.8571428571428571</v>
      </c>
      <c r="F17" s="456" t="str">
        <f>IF(ISNUMBER((Datos!M17-Datos!W17)/Datos!W17),(Datos!M17-Datos!W17)/Datos!W17," - ")</f>
        <v xml:space="preserve"> - </v>
      </c>
      <c r="G17" s="457">
        <f>IF(ISNUMBER((Datos!N17-Datos!X17)/Datos!X17),(Datos!N17-Datos!X17)/Datos!X17," - ")</f>
        <v>-0.7</v>
      </c>
      <c r="H17" s="455">
        <f>IF(ISNUMBER(((NºAsuntos!G17/NºAsuntos!E17)-Datos!BD17)/Datos!BD17),((NºAsuntos!G17/NºAsuntos!E17)-Datos!BD17)/Datos!BD17," - ")</f>
        <v>-1</v>
      </c>
      <c r="I17" s="456" t="str">
        <f>IF(ISNUMBER(((NºAsuntos!I17/NºAsuntos!G17)-Datos!BE17)/Datos!BE17),((NºAsuntos!I17/NºAsuntos!G17)-Datos!BE17)/Datos!BE17," - ")</f>
        <v xml:space="preserve"> - </v>
      </c>
      <c r="J17" s="461" t="str">
        <f>IF(ISNUMBER((('Resol  Asuntos'!D17/NºAsuntos!G17)-Datos!BF17)/Datos!BF17),(('Resol  Asuntos'!D17/NºAsuntos!G17)-Datos!BF17)/Datos!BF17," - ")</f>
        <v xml:space="preserve"> - </v>
      </c>
      <c r="K17" s="462" t="str">
        <f>IF(ISNUMBER((((NºAsuntos!C17+NºAsuntos!E17)/NºAsuntos!G17)-Datos!BG17)/Datos!BG17),(((NºAsuntos!C17+NºAsuntos!E17)/NºAsuntos!G17)-Datos!BG17)/Datos!BG17," - ")</f>
        <v xml:space="preserve"> - </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9.4488188976377951E-2</v>
      </c>
      <c r="C18" s="855">
        <f>IF(ISNUMBER(
   IF(Criterios!B14="SI",(Datos!J18-Datos!T18)/Datos!T18,(Datos!J18+Datos!AD18-(Datos!T18+Datos!AL18))/(Datos!T18+Datos!AL18))
     ),IF(Criterios!B14="SI",(Datos!J18-Datos!T18)/Datos!T18,(Datos!J18+Datos!AD18-(Datos!T18+Datos!AL18))/(Datos!T18+Datos!AL18))," - ")</f>
        <v>-0.19653179190751446</v>
      </c>
      <c r="D18" s="855">
        <f>IF(ISNUMBER(
   IF(Criterios!B14="SI",(Datos!K18-Datos!U18)/Datos!U18,(Datos!K18+Datos!AE18-(Datos!U18+Datos!AM18))/(Datos!U18+Datos!AM18))
     ),IF(Criterios!B14="SI",(Datos!K18-Datos!U18)/Datos!U18,(Datos!K18+Datos!AE18-(Datos!U18+Datos!AM18))/(Datos!U18+Datos!AM18))," - ")</f>
        <v>-0.13580246913580246</v>
      </c>
      <c r="E18" s="855">
        <f>IF(ISNUMBER(
   IF(Criterios!B14="SI",(Datos!L18-Datos!V18)/Datos!V18,(Datos!L18+Datos!AF18-(Datos!V18+Datos!AN18))/(Datos!V18+Datos!AN18))
     ),IF(Criterios!B14="SI",(Datos!L18-Datos!V18)/Datos!V18,(Datos!L18+Datos!AF18-(Datos!V18+Datos!AN18))/(Datos!V18+Datos!AN18))," - ")</f>
        <v>-0.13475177304964539</v>
      </c>
      <c r="F18" s="856">
        <f>IF(ISNUMBER((Datos!M18-Datos!W18)/Datos!W18),(Datos!M18-Datos!W18)/Datos!W18," - ")</f>
        <v>0.83333333333333337</v>
      </c>
      <c r="G18" s="857">
        <f>IF(ISNUMBER((Datos!N18-Datos!X18)/Datos!X18),(Datos!N18-Datos!X18)/Datos!X18," - ")</f>
        <v>-0.21212121212121213</v>
      </c>
      <c r="H18" s="857">
        <f>IF(ISNUMBER(((NºAsuntos!G18/NºAsuntos!E18)-Datos!BD18)/Datos!BD18),((NºAsuntos!G18/NºAsuntos!E18)-Datos!BD18)/Datos!BD18," - ")</f>
        <v>7.5583977262634314E-2</v>
      </c>
      <c r="I18" s="857">
        <f>IF(ISNUMBER(((NºAsuntos!I18/NºAsuntos!G18)-Datos!BE18)/Datos!BE18),((NºAsuntos!I18/NºAsuntos!G18)-Datos!BE18)/Datos!BE18," - ")</f>
        <v>1.2158054711246583E-3</v>
      </c>
      <c r="J18" s="857">
        <f>IF(ISNUMBER((('Resol  Asuntos'!D18/NºAsuntos!G18)-Datos!BF18)/Datos!BF18),(('Resol  Asuntos'!D18/NºAsuntos!G18)-Datos!BF18)/Datos!BF18," - ")</f>
        <v>1.1214285714285714</v>
      </c>
      <c r="K18" s="857">
        <f>IF(ISNUMBER((((NºAsuntos!C18+NºAsuntos!E18)/NºAsuntos!G18)-Datos!BG18)/Datos!BG18),(((NºAsuntos!C18+NºAsuntos!E18)/NºAsuntos!G18)-Datos!BG18)/Datos!BG18," - ")</f>
        <v>7.2285714285714314E-2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0.27635327635327633</v>
      </c>
      <c r="C19" s="802">
        <f>IF(ISNUMBER(
   IF(J_V="SI",(Datos!J19-Datos!T19)/Datos!T19,(Datos!J19+Datos!Z19-(Datos!T19+Datos!AH19))/(Datos!T19+Datos!AH19))
     ),IF(J_V="SI",(Datos!J19-Datos!T19)/Datos!T19,(Datos!J19+Datos!Z19-(Datos!T19+Datos!AH19))/(Datos!T19+Datos!AH19))," - ")</f>
        <v>-5.4474708171206226E-2</v>
      </c>
      <c r="D19" s="802">
        <f>IF(ISNUMBER(
   IF(J_V="SI",(Datos!K19-Datos!U19)/Datos!U19,(Datos!K19+Datos!AA19-(Datos!U19+Datos!AI19))/(Datos!U19+Datos!AI19))
     ),IF(J_V="SI",(Datos!K19-Datos!U19)/Datos!U19,(Datos!K19+Datos!AA19-(Datos!U19+Datos!AI19))/(Datos!U19+Datos!AI19))," - ")</f>
        <v>1.6528925619834711E-2</v>
      </c>
      <c r="E19" s="802">
        <f>IF(ISNUMBER(
   IF(J_V="SI",(Datos!L19-Datos!V19)/Datos!V19,(Datos!L19+Datos!AB19-(Datos!V19+Datos!AJ19))/(Datos!V19+Datos!AJ19))
     ),IF(J_V="SI",(Datos!L19-Datos!V19)/Datos!V19,(Datos!L19+Datos!AB19-(Datos!V19+Datos!AJ19))/(Datos!V19+Datos!AJ19))," - ")</f>
        <v>0.17886178861788618</v>
      </c>
      <c r="F19" s="803">
        <f>IF(ISNUMBER((Datos!M19-Datos!W19)/Datos!W19),(Datos!M19-Datos!W19)/Datos!W19," - ")</f>
        <v>0.42857142857142855</v>
      </c>
      <c r="G19" s="804">
        <f>IF(ISNUMBER((Datos!N19-Datos!X19)/Datos!X19),(Datos!N19-Datos!X19)/Datos!X19," - ")</f>
        <v>-0.11864406779661017</v>
      </c>
      <c r="H19" s="805">
        <f>IF(ISNUMBER((Tasas!B19-Datos!BD19)/Datos!BD19),(Tasas!B19-Datos!BD19)/Datos!BD19," - ")</f>
        <v>7.5094378124681227E-2</v>
      </c>
      <c r="I19" s="806">
        <f>IF(ISNUMBER((Tasas!C19-Datos!BE19)/Datos!BE19),(Tasas!C19-Datos!BE19)/Datos!BE19," - ")</f>
        <v>0.15969330425011574</v>
      </c>
      <c r="J19" s="807">
        <f>IF(ISNUMBER((Tasas!D19-Datos!BF19)/Datos!BF19),(Tasas!D19-Datos!BF19)/Datos!BF19," - ")</f>
        <v>-0.42132950741272118</v>
      </c>
      <c r="K19" s="807">
        <f>IF(ISNUMBER((Tasas!E19-Datos!BG19)/Datos!BG19),(Tasas!E19-Datos!BG19)/Datos!BG19," - ")</f>
        <v>0.11803326914848097</v>
      </c>
    </row>
    <row r="20" spans="1:12">
      <c r="A20" s="411"/>
      <c r="B20" s="411"/>
      <c r="C20" s="411"/>
      <c r="D20" s="411"/>
      <c r="E20" s="411"/>
    </row>
    <row r="21" spans="1:12" ht="70.5" customHeight="1">
      <c r="A21" s="1226" t="s">
        <v>152</v>
      </c>
      <c r="B21" s="1226"/>
      <c r="C21" s="1226"/>
      <c r="D21" s="1226"/>
      <c r="E21" s="1226"/>
      <c r="F21" s="1226"/>
      <c r="G21" s="1226"/>
      <c r="H21" s="1226"/>
      <c r="I21" s="1226"/>
      <c r="J21" s="1226"/>
      <c r="K21" s="1226"/>
    </row>
    <row r="22" spans="1:12">
      <c r="A22" s="1225"/>
      <c r="B22" s="1225"/>
      <c r="C22" s="413"/>
      <c r="D22" s="413"/>
      <c r="E22" s="413"/>
    </row>
    <row r="23" spans="1:12">
      <c r="A23" s="391" t="str">
        <f>Criterios!A4</f>
        <v>Fecha Informe: 29 may.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9FY/o6o3XVpJX/NXcI7tlCxnSntx72iyaov2r5sV2sBs9n2v+jJUXArgxaN9OTYKvaZwi6XEZGMFo/JRseNW8Q==" saltValue="c4kExNDfERFnplLdz5srK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ASTURIAS</v>
      </c>
    </row>
    <row r="3" spans="1:7" ht="19.5">
      <c r="A3" s="436" t="s">
        <v>12</v>
      </c>
      <c r="B3" s="391" t="str">
        <f>Criterios!A10 &amp;"  "&amp;Criterios!B10</f>
        <v>Provincias  ASTURIAS</v>
      </c>
    </row>
    <row r="4" spans="1:7" ht="11.25" customHeight="1" thickBot="1">
      <c r="B4" s="391" t="str">
        <f>Criterios!A11 &amp;"  "&amp;Criterios!B11</f>
        <v>Resumenes por Partidos Judiciales  TINEO</v>
      </c>
    </row>
    <row r="5" spans="1:7" ht="12.75" customHeight="1">
      <c r="A5" s="1208" t="str">
        <f>"Año:  " &amp;Criterios!B5 &amp; "    Trimestre   " &amp;Criterios!D5 &amp; " al " &amp;Criterios!D6</f>
        <v>Año:  2024    Trimestre   1 al 1</v>
      </c>
      <c r="B5" s="1202" t="s">
        <v>95</v>
      </c>
      <c r="C5" s="1202" t="s">
        <v>96</v>
      </c>
      <c r="D5" s="1202" t="s">
        <v>97</v>
      </c>
      <c r="E5" s="1202" t="s">
        <v>98</v>
      </c>
      <c r="G5" s="463"/>
    </row>
    <row r="6" spans="1:7" ht="12.75" customHeight="1">
      <c r="A6" s="1209"/>
      <c r="B6" s="1238"/>
      <c r="C6" s="1238"/>
      <c r="D6" s="1238"/>
      <c r="E6" s="1238"/>
      <c r="G6" s="463"/>
    </row>
    <row r="7" spans="1:7" ht="30.75" customHeight="1" thickBot="1">
      <c r="A7" s="437" t="str">
        <f>Datos!A7</f>
        <v>COMPETENCIAS</v>
      </c>
      <c r="B7" s="1239"/>
      <c r="C7" s="1239"/>
      <c r="D7" s="1239"/>
      <c r="E7" s="1239"/>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2</v>
      </c>
      <c r="C10" s="443">
        <f>IF(ISNUMBER(NºAsuntos!I10/NºAsuntos!G10),NºAsuntos!I10/NºAsuntos!G10," - ")</f>
        <v>0.5</v>
      </c>
      <c r="D10" s="444">
        <f>IF(ISNUMBER('Resol  Asuntos'!D10/NºAsuntos!G10),'Resol  Asuntos'!D10/NºAsuntos!G10," - ")</f>
        <v>0</v>
      </c>
      <c r="E10" s="445">
        <f>IF(ISNUMBER((NºAsuntos!C10+NºAsuntos!E10)/NºAsuntos!G10),(NºAsuntos!C10+NºAsuntos!E10)/NºAsuntos!G10," - ")</f>
        <v>1.5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1.0097087378640777</v>
      </c>
      <c r="C12" s="443">
        <f>IF(ISNUMBER(NºAsuntos!I12/NºAsuntos!G12),NºAsuntos!I12/NºAsuntos!G12," - ")</f>
        <v>3</v>
      </c>
      <c r="D12" s="444">
        <f>IF(ISNUMBER('Resol  Asuntos'!D12/NºAsuntos!G12),'Resol  Asuntos'!D12/NºAsuntos!G12," - ")</f>
        <v>0.18269230769230768</v>
      </c>
      <c r="E12" s="445">
        <f>IF(ISNUMBER((NºAsuntos!C12+NºAsuntos!E12)/NºAsuntos!G12),(NºAsuntos!C12+NºAsuntos!E12)/NºAsuntos!G12," - ")</f>
        <v>3.9423076923076925</v>
      </c>
      <c r="G12" s="463"/>
    </row>
    <row r="13" spans="1:7" ht="14.25" thickTop="1" thickBot="1">
      <c r="A13" s="848" t="str">
        <f>Datos!A13</f>
        <v>TOTAL</v>
      </c>
      <c r="B13" s="858">
        <f>IF(ISNUMBER(NºAsuntos!G13/NºAsuntos!E13),NºAsuntos!G13/NºAsuntos!E13," - ")</f>
        <v>1.0192307692307692</v>
      </c>
      <c r="C13" s="859">
        <f>IF(ISNUMBER(NºAsuntos!I13/NºAsuntos!G13),NºAsuntos!I13/NºAsuntos!G13," - ")</f>
        <v>2.9528301886792452</v>
      </c>
      <c r="D13" s="860">
        <f>IF(ISNUMBER('Resol  Asuntos'!D13/NºAsuntos!G13),'Resol  Asuntos'!D13/NºAsuntos!G13," - ")</f>
        <v>0.17924528301886791</v>
      </c>
      <c r="E13" s="861">
        <f>IF(ISNUMBER((NºAsuntos!C13+NºAsuntos!E13)/NºAsuntos!G13),(NºAsuntos!C13+NºAsuntos!E13)/NºAsuntos!G13," - ")</f>
        <v>3.8962264150943398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1.0294117647058822</v>
      </c>
      <c r="C16" s="443">
        <f>IF(ISNUMBER(NºAsuntos!I16/NºAsuntos!G16),NºAsuntos!I16/NºAsuntos!G16," - ")</f>
        <v>0.77857142857142858</v>
      </c>
      <c r="D16" s="444">
        <f>IF(ISNUMBER('Resol  Asuntos'!D16/NºAsuntos!G16),'Resol  Asuntos'!D16/NºAsuntos!G16," - ")</f>
        <v>7.857142857142857E-2</v>
      </c>
      <c r="E16" s="445">
        <f>IF(ISNUMBER((NºAsuntos!C16+NºAsuntos!E16)/NºAsuntos!G16),(NºAsuntos!C16+NºAsuntos!E16)/NºAsuntos!G16," - ")</f>
        <v>1.8928571428571428</v>
      </c>
      <c r="G16" s="463"/>
    </row>
    <row r="17" spans="1:7" ht="13.5" thickBot="1">
      <c r="A17" s="402" t="str">
        <f>Datos!A17</f>
        <v>Jdos. Violencia contra la mujer</v>
      </c>
      <c r="B17" s="442">
        <f>IF(ISNUMBER(NºAsuntos!G17/NºAsuntos!E17),NºAsuntos!G17/NºAsuntos!E17," - ")</f>
        <v>0</v>
      </c>
      <c r="C17" s="443" t="str">
        <f>IF(ISNUMBER(NºAsuntos!I17/NºAsuntos!G17),NºAsuntos!I17/NºAsuntos!G17," - ")</f>
        <v xml:space="preserve"> - </v>
      </c>
      <c r="D17" s="444" t="str">
        <f>IF(ISNUMBER('Resol  Asuntos'!D17/NºAsuntos!G17),'Resol  Asuntos'!D17/NºAsuntos!G17," - ")</f>
        <v xml:space="preserve"> - </v>
      </c>
      <c r="E17" s="445" t="str">
        <f>IF(ISNUMBER((NºAsuntos!C17+NºAsuntos!E17)/NºAsuntos!G17),(NºAsuntos!C17+NºAsuntos!E17)/NºAsuntos!G17," - ")</f>
        <v xml:space="preserve"> - </v>
      </c>
      <c r="G17" s="463"/>
    </row>
    <row r="18" spans="1:7" ht="14.25" thickTop="1" thickBot="1">
      <c r="A18" s="848" t="str">
        <f>Datos!A18</f>
        <v>TOTAL</v>
      </c>
      <c r="B18" s="858">
        <f>IF(ISNUMBER(NºAsuntos!G18/NºAsuntos!E18),NºAsuntos!G18/NºAsuntos!E18," - ")</f>
        <v>1.0071942446043165</v>
      </c>
      <c r="C18" s="859">
        <f>IF(ISNUMBER(NºAsuntos!I18/NºAsuntos!G18),NºAsuntos!I18/NºAsuntos!G18," - ")</f>
        <v>0.87142857142857144</v>
      </c>
      <c r="D18" s="862">
        <f>IF(ISNUMBER('Resol  Asuntos'!D18/NºAsuntos!G18),'Resol  Asuntos'!D18/NºAsuntos!G18," - ")</f>
        <v>7.857142857142857E-2</v>
      </c>
      <c r="E18" s="861">
        <f>IF(ISNUMBER((NºAsuntos!C18+NºAsuntos!E18)/NºAsuntos!G18),(NºAsuntos!C18+NºAsuntos!E18)/NºAsuntos!G18," - ")</f>
        <v>1.9857142857142858</v>
      </c>
      <c r="G18" s="463"/>
    </row>
    <row r="19" spans="1:7" ht="15.75" customHeight="1" thickTop="1" thickBot="1">
      <c r="A19" s="793" t="str">
        <f>Datos!A19</f>
        <v>TOTAL JURISDICCIONES</v>
      </c>
      <c r="B19" s="808">
        <f>IF(ISNUMBER(NºAsuntos!G19/NºAsuntos!E19),NºAsuntos!G19/NºAsuntos!E19," - ")</f>
        <v>1.0123456790123457</v>
      </c>
      <c r="C19" s="809">
        <f>IF(ISNUMBER(NºAsuntos!I19/NºAsuntos!G19),NºAsuntos!I19/NºAsuntos!G19," - ")</f>
        <v>1.7682926829268293</v>
      </c>
      <c r="D19" s="810">
        <f>IF(ISNUMBER('Resol  Asuntos'!D19/NºAsuntos!G19),'Resol  Asuntos'!D19/NºAsuntos!G19," - ")</f>
        <v>0.12195121951219512</v>
      </c>
      <c r="E19" s="811">
        <f>IF(ISNUMBER((NºAsuntos!C19+NºAsuntos!E19)/NºAsuntos!G19),(NºAsuntos!C19+NºAsuntos!E19)/NºAsuntos!G19," - ")</f>
        <v>2.8089430894308944</v>
      </c>
      <c r="G19" s="463"/>
    </row>
    <row r="20" spans="1:7">
      <c r="A20" s="411"/>
      <c r="B20" s="411"/>
      <c r="C20" s="411"/>
      <c r="G20" s="463"/>
    </row>
    <row r="21" spans="1:7">
      <c r="A21" s="413"/>
      <c r="B21" s="413"/>
      <c r="C21" s="413"/>
      <c r="G21" s="463"/>
    </row>
    <row r="22" spans="1:7">
      <c r="A22" s="1195"/>
      <c r="B22" s="1195"/>
      <c r="C22" s="1195"/>
      <c r="G22" s="463"/>
    </row>
    <row r="23" spans="1:7">
      <c r="A23" s="391" t="str">
        <f>Criterios!A4</f>
        <v>Fecha Informe: 29 may.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dw+uEFXKRjeMKfVcP7WXXvRpuWL2vc9Ac/tSx/p7gQd1DZ7MJfXDmLsYPLVx4IXrZ2WmMw3BbgbiFFWphdzc9Q==" saltValue="kjeVzq2Y+mlIpzu23WX3v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ASTURIAS</v>
      </c>
      <c r="G2" s="263"/>
      <c r="H2" s="262"/>
      <c r="I2" s="262"/>
      <c r="J2" s="262"/>
      <c r="K2" s="262"/>
      <c r="L2" s="262" t="str">
        <f>Criterios!A10 &amp;"  "&amp;Criterios!B10</f>
        <v>Provincias  ASTURIAS</v>
      </c>
      <c r="N2" s="262" t="str">
        <f>Criterios!A11 &amp;"  "&amp;Criterios!B11</f>
        <v>Resumenes por Partidos Judiciales  TINEO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3" t="s">
        <v>351</v>
      </c>
      <c r="B5" s="272"/>
      <c r="C5" s="1286" t="str">
        <f>"Año:  " &amp;Criterios!B$5 &amp; "          Trimestre   " &amp;Criterios!D$5 &amp; " al " &amp;Criterios!D$6</f>
        <v>Año:  2024          Trimestre   1 al 1</v>
      </c>
      <c r="D5" s="1256" t="s">
        <v>376</v>
      </c>
      <c r="E5" s="1256" t="s">
        <v>318</v>
      </c>
      <c r="F5" s="1288" t="s">
        <v>406</v>
      </c>
      <c r="G5" s="1291" t="s">
        <v>128</v>
      </c>
      <c r="H5" s="1247" t="s">
        <v>160</v>
      </c>
      <c r="I5" s="1247" t="s">
        <v>164</v>
      </c>
      <c r="J5" s="1247" t="s">
        <v>165</v>
      </c>
      <c r="K5" s="1247" t="s">
        <v>407</v>
      </c>
      <c r="L5" s="1247" t="s">
        <v>587</v>
      </c>
      <c r="M5" s="1247" t="s">
        <v>322</v>
      </c>
      <c r="N5" s="1247" t="s">
        <v>377</v>
      </c>
      <c r="O5" s="1247" t="s">
        <v>409</v>
      </c>
      <c r="P5" s="1247" t="s">
        <v>163</v>
      </c>
      <c r="Q5" s="1247" t="s">
        <v>41</v>
      </c>
      <c r="R5" s="1262" t="s">
        <v>166</v>
      </c>
      <c r="S5" s="1265" t="s">
        <v>169</v>
      </c>
      <c r="T5" s="1253" t="s">
        <v>170</v>
      </c>
      <c r="U5" s="1250" t="s">
        <v>171</v>
      </c>
      <c r="V5" s="1277" t="s">
        <v>320</v>
      </c>
      <c r="W5" s="1294" t="s">
        <v>172</v>
      </c>
      <c r="X5" s="1297" t="s">
        <v>173</v>
      </c>
      <c r="Y5" s="1297" t="s">
        <v>174</v>
      </c>
      <c r="Z5" s="1280" t="s">
        <v>175</v>
      </c>
      <c r="AA5" s="1268" t="s">
        <v>176</v>
      </c>
      <c r="AB5" s="1247" t="s">
        <v>177</v>
      </c>
      <c r="AC5" s="1247" t="s">
        <v>178</v>
      </c>
      <c r="AD5" s="1300" t="s">
        <v>179</v>
      </c>
      <c r="AE5" s="1256" t="s">
        <v>182</v>
      </c>
      <c r="AF5" s="1271" t="s">
        <v>180</v>
      </c>
      <c r="AG5" s="1247" t="s">
        <v>181</v>
      </c>
      <c r="AH5" s="1262" t="s">
        <v>200</v>
      </c>
      <c r="AI5" s="1268" t="s">
        <v>183</v>
      </c>
      <c r="AJ5" s="1274" t="s">
        <v>247</v>
      </c>
      <c r="AK5" s="1259" t="s">
        <v>248</v>
      </c>
      <c r="AL5" s="1256" t="s">
        <v>249</v>
      </c>
      <c r="AM5" s="1256" t="s">
        <v>359</v>
      </c>
      <c r="AN5" s="1256" t="s">
        <v>250</v>
      </c>
      <c r="AO5" s="1256" t="s">
        <v>251</v>
      </c>
      <c r="AP5" s="1256" t="s">
        <v>301</v>
      </c>
      <c r="AQ5" s="1256" t="s">
        <v>184</v>
      </c>
      <c r="AR5" s="1256" t="s">
        <v>185</v>
      </c>
      <c r="AS5" s="1256" t="s">
        <v>388</v>
      </c>
      <c r="AT5" s="1256" t="s">
        <v>294</v>
      </c>
      <c r="AU5" s="1256" t="s">
        <v>295</v>
      </c>
      <c r="AV5" s="1256" t="s">
        <v>333</v>
      </c>
      <c r="AW5" s="1256" t="s">
        <v>838</v>
      </c>
      <c r="AX5" s="1256" t="s">
        <v>321</v>
      </c>
      <c r="AY5" s="1256" t="s">
        <v>752</v>
      </c>
      <c r="AZ5" s="1256" t="s">
        <v>753</v>
      </c>
      <c r="BF5" s="1245" t="s">
        <v>201</v>
      </c>
      <c r="BG5" s="1246"/>
      <c r="BH5" s="1245" t="s">
        <v>202</v>
      </c>
      <c r="BI5" s="1246"/>
      <c r="BJ5" s="1245" t="s">
        <v>203</v>
      </c>
      <c r="BK5" s="1246"/>
      <c r="BL5" s="1245" t="s">
        <v>204</v>
      </c>
      <c r="BM5" s="1246"/>
    </row>
    <row r="6" spans="1:65" ht="21.75" customHeight="1">
      <c r="A6" s="1284"/>
      <c r="B6" s="273"/>
      <c r="C6" s="1287"/>
      <c r="D6" s="1257"/>
      <c r="E6" s="1257"/>
      <c r="F6" s="1289"/>
      <c r="G6" s="1292"/>
      <c r="H6" s="1248"/>
      <c r="I6" s="1248"/>
      <c r="J6" s="1248"/>
      <c r="K6" s="1248"/>
      <c r="L6" s="1248"/>
      <c r="M6" s="1248"/>
      <c r="N6" s="1248"/>
      <c r="O6" s="1248"/>
      <c r="P6" s="1248"/>
      <c r="Q6" s="1248"/>
      <c r="R6" s="1263"/>
      <c r="S6" s="1266"/>
      <c r="T6" s="1254"/>
      <c r="U6" s="1251"/>
      <c r="V6" s="1278"/>
      <c r="W6" s="1295"/>
      <c r="X6" s="1298"/>
      <c r="Y6" s="1298"/>
      <c r="Z6" s="1281"/>
      <c r="AA6" s="1269"/>
      <c r="AB6" s="1248"/>
      <c r="AC6" s="1248"/>
      <c r="AD6" s="1301"/>
      <c r="AE6" s="1257"/>
      <c r="AF6" s="1272"/>
      <c r="AG6" s="1248"/>
      <c r="AH6" s="1263"/>
      <c r="AI6" s="1269"/>
      <c r="AJ6" s="1275"/>
      <c r="AK6" s="1260"/>
      <c r="AL6" s="1257"/>
      <c r="AM6" s="1257"/>
      <c r="AN6" s="1257"/>
      <c r="AO6" s="1257"/>
      <c r="AP6" s="1257"/>
      <c r="AQ6" s="1257"/>
      <c r="AR6" s="1257"/>
      <c r="AS6" s="1257"/>
      <c r="AT6" s="1257"/>
      <c r="AU6" s="1257"/>
      <c r="AV6" s="1257"/>
      <c r="AW6" s="1257"/>
      <c r="AX6" s="1257"/>
      <c r="AY6" s="1257"/>
      <c r="AZ6" s="1257"/>
      <c r="BF6" s="1243" t="s">
        <v>161</v>
      </c>
      <c r="BG6" s="1243" t="s">
        <v>162</v>
      </c>
      <c r="BH6" s="1243" t="s">
        <v>161</v>
      </c>
      <c r="BI6" s="1243" t="s">
        <v>162</v>
      </c>
      <c r="BJ6" s="1243" t="s">
        <v>161</v>
      </c>
      <c r="BK6" s="1243" t="s">
        <v>162</v>
      </c>
      <c r="BL6" s="1243" t="s">
        <v>161</v>
      </c>
      <c r="BM6" s="1243" t="s">
        <v>162</v>
      </c>
    </row>
    <row r="7" spans="1:65" ht="38.25" customHeight="1" thickBot="1">
      <c r="A7" s="1285"/>
      <c r="B7" s="274"/>
      <c r="C7" s="264" t="str">
        <f>Datos!A7</f>
        <v>COMPETENCIAS</v>
      </c>
      <c r="D7" s="1258"/>
      <c r="E7" s="1258"/>
      <c r="F7" s="1290"/>
      <c r="G7" s="1293"/>
      <c r="H7" s="1249"/>
      <c r="I7" s="1249"/>
      <c r="J7" s="1249"/>
      <c r="K7" s="1249"/>
      <c r="L7" s="1249"/>
      <c r="M7" s="1249"/>
      <c r="N7" s="1249"/>
      <c r="O7" s="1249"/>
      <c r="P7" s="1249"/>
      <c r="Q7" s="1249"/>
      <c r="R7" s="1264"/>
      <c r="S7" s="1267"/>
      <c r="T7" s="1255"/>
      <c r="U7" s="1252"/>
      <c r="V7" s="1279"/>
      <c r="W7" s="1296"/>
      <c r="X7" s="1299"/>
      <c r="Y7" s="1299"/>
      <c r="Z7" s="1282"/>
      <c r="AA7" s="1270"/>
      <c r="AB7" s="1249"/>
      <c r="AC7" s="1249"/>
      <c r="AD7" s="1302"/>
      <c r="AE7" s="1258"/>
      <c r="AF7" s="1273"/>
      <c r="AG7" s="1249"/>
      <c r="AH7" s="1264"/>
      <c r="AI7" s="1270"/>
      <c r="AJ7" s="1276"/>
      <c r="AK7" s="1261"/>
      <c r="AL7" s="1258"/>
      <c r="AM7" s="1258"/>
      <c r="AN7" s="1258"/>
      <c r="AO7" s="1258"/>
      <c r="AP7" s="1258"/>
      <c r="AQ7" s="1258"/>
      <c r="AR7" s="1258"/>
      <c r="AS7" s="1258"/>
      <c r="AT7" s="1258"/>
      <c r="AU7" s="1258"/>
      <c r="AV7" s="1258"/>
      <c r="AW7" s="1258"/>
      <c r="AX7" s="1258"/>
      <c r="AY7" s="1258"/>
      <c r="AZ7" s="1258"/>
      <c r="BF7" s="1244"/>
      <c r="BG7" s="1244"/>
      <c r="BH7" s="1244"/>
      <c r="BI7" s="1244"/>
      <c r="BJ7" s="1244"/>
      <c r="BK7" s="1244"/>
      <c r="BL7" s="1244"/>
      <c r="BM7" s="1244"/>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v>
      </c>
      <c r="G10" s="333">
        <f>IF(ISNUMBER(Datos!I10),Datos!I10," - ")</f>
        <v>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v>
      </c>
      <c r="X10" s="226">
        <f>IF(ISNUMBER(Datos!Q10),Datos!Q10," - ")</f>
        <v>0</v>
      </c>
      <c r="Y10" s="334">
        <f t="shared" ref="Y10:Y12" si="0">SUM(W10:X10)</f>
        <v>2</v>
      </c>
      <c r="Z10" s="335" t="str">
        <f>IF(ISNUMBER(Datos!CC10),Datos!CC10," - ")</f>
        <v xml:space="preserve"> - </v>
      </c>
      <c r="AA10" s="332">
        <f>IF(ISNUMBER(Datos!L10),Datos!L10,"-")</f>
        <v>1</v>
      </c>
      <c r="AB10" s="334">
        <f>IF(ISNUMBER(Datos!R10),Datos!R10," - ")</f>
        <v>0</v>
      </c>
      <c r="AC10" s="334">
        <f t="shared" ref="AC10:AC12" si="1">IF(ISNUMBER(AA10+AB10),AA10+AB10," - ")</f>
        <v>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2</v>
      </c>
      <c r="AM10" s="260">
        <f>IF(ISNUMBER(((NºAsuntos!I10/NºAsuntos!G10)*11)/factor_trimestre),((NºAsuntos!I10/NºAsuntos!G10)*11)/factor_trimestre," - ")</f>
        <v>1.5</v>
      </c>
      <c r="AN10" s="244">
        <f>IF(ISNUMBER('Resol  Asuntos'!D10/NºAsuntos!G10),'Resol  Asuntos'!D10/NºAsuntos!G10," - ")</f>
        <v>0</v>
      </c>
      <c r="AO10" s="245">
        <f>IF(ISNUMBER((NºAsuntos!C10+NºAsuntos!E10)/NºAsuntos!G10),(NºAsuntos!C10+NºAsuntos!E10)/NºAsuntos!G10," - ")</f>
        <v>1.5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23</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11</v>
      </c>
      <c r="Y12" s="334">
        <f t="shared" si="0"/>
        <v>11</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462</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19</v>
      </c>
      <c r="AJ12" s="229" t="str">
        <f>IF(ISNUMBER(Datos!BW12),Datos!BW12," - ")</f>
        <v xml:space="preserve"> - </v>
      </c>
      <c r="AK12" s="228" t="str">
        <f>IF(ISNUMBER(Datos!BX12),Datos!BX12," - ")</f>
        <v xml:space="preserve"> - </v>
      </c>
      <c r="AL12" s="243">
        <f>IF(ISNUMBER(NºAsuntos!G12/NºAsuntos!E12),NºAsuntos!G12/NºAsuntos!E12," - ")</f>
        <v>1.0097087378640777</v>
      </c>
      <c r="AM12" s="260">
        <f>IF(ISNUMBER(((NºAsuntos!I12/NºAsuntos!G12)*11)/factor_trimestre),((NºAsuntos!I12/NºAsuntos!G12)*11)/factor_trimestre," - ")</f>
        <v>9</v>
      </c>
      <c r="AN12" s="244">
        <f>IF(ISNUMBER('Resol  Asuntos'!D12/NºAsuntos!G12),'Resol  Asuntos'!D12/NºAsuntos!G12," - ")</f>
        <v>0.18269230769230768</v>
      </c>
      <c r="AO12" s="245">
        <f>IF(ISNUMBER((NºAsuntos!C12+NºAsuntos!E12)/NºAsuntos!G12),(NºAsuntos!C12+NºAsuntos!E12)/NºAsuntos!G12," - ")</f>
        <v>3.9423076923076925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2</v>
      </c>
      <c r="G13" s="866">
        <f t="shared" si="3"/>
        <v>2</v>
      </c>
      <c r="H13" s="865">
        <f t="shared" si="3"/>
        <v>0</v>
      </c>
      <c r="I13" s="867">
        <f t="shared" si="3"/>
        <v>0</v>
      </c>
      <c r="J13" s="867">
        <f t="shared" si="3"/>
        <v>0</v>
      </c>
      <c r="K13" s="867">
        <f t="shared" si="3"/>
        <v>0</v>
      </c>
      <c r="L13" s="867">
        <f t="shared" si="3"/>
        <v>23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v>
      </c>
      <c r="X13" s="867">
        <f t="shared" si="4"/>
        <v>11</v>
      </c>
      <c r="Y13" s="868">
        <f t="shared" si="4"/>
        <v>13</v>
      </c>
      <c r="Z13" s="868">
        <f t="shared" si="4"/>
        <v>0</v>
      </c>
      <c r="AA13" s="868">
        <f t="shared" si="4"/>
        <v>1</v>
      </c>
      <c r="AB13" s="868">
        <f t="shared" si="4"/>
        <v>462</v>
      </c>
      <c r="AC13" s="868">
        <f t="shared" si="4"/>
        <v>1</v>
      </c>
      <c r="AD13" s="868">
        <f t="shared" si="4"/>
        <v>0</v>
      </c>
      <c r="AE13" s="872">
        <f t="shared" si="4"/>
        <v>0</v>
      </c>
      <c r="AF13" s="865">
        <f t="shared" si="4"/>
        <v>0</v>
      </c>
      <c r="AG13" s="873">
        <f t="shared" si="4"/>
        <v>0</v>
      </c>
      <c r="AH13" s="870">
        <f t="shared" si="4"/>
        <v>0</v>
      </c>
      <c r="AI13" s="865">
        <f t="shared" si="4"/>
        <v>19</v>
      </c>
      <c r="AJ13" s="867">
        <f t="shared" si="4"/>
        <v>0</v>
      </c>
      <c r="AK13" s="870">
        <f>SUBTOTAL(9,AK9:AK12)</f>
        <v>0</v>
      </c>
      <c r="AL13" s="874">
        <f>IF(ISNUMBER(NºAsuntos!G13/NºAsuntos!E13),NºAsuntos!G13/NºAsuntos!E13," - ")</f>
        <v>1.0192307692307692</v>
      </c>
      <c r="AM13" s="874">
        <f>IF(ISNUMBER(((NºAsuntos!I13/NºAsuntos!G13)*11)/factor_trimestre),((NºAsuntos!I13/NºAsuntos!G13)*11)/factor_trimestre," - ")</f>
        <v>8.8584905660377355</v>
      </c>
      <c r="AN13" s="875">
        <f>IF(ISNUMBER('Resol  Asuntos'!D13/NºAsuntos!G13),'Resol  Asuntos'!D13/NºAsuntos!G13," - ")</f>
        <v>0.17924528301886791</v>
      </c>
      <c r="AO13" s="876">
        <f>IF(ISNUMBER((NºAsuntos!C13+NºAsuntos!E13)/NºAsuntos!G13),(NºAsuntos!C13+NºAsuntos!E13)/NºAsuntos!G13," - ")</f>
        <v>3.8962264150943398</v>
      </c>
      <c r="AP13" s="877" t="str">
        <f t="shared" si="2"/>
        <v xml:space="preserve"> - </v>
      </c>
      <c r="AQ13" s="877">
        <f>IF(ISNUMBER((H13-W13+K13)/(F13)),(H13-W13+K13)/(F13)," - ")</f>
        <v>-1</v>
      </c>
      <c r="AR13" s="878">
        <f>IF(ISNUMBER((Datos!P13-Datos!Q13)/(Datos!R13-Datos!P13+Datos!Q13)),(Datos!P13-Datos!Q13)/(Datos!R13-Datos!P13+Datos!Q13)," - ")</f>
        <v>2.6666666666666668E-2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113</v>
      </c>
      <c r="G16" s="333">
        <f>IF(ISNUMBER(IF(D_I="SI",Datos!I16,Datos!I16+Datos!AC16)),IF(D_I="SI",Datos!I16,Datos!I16+Datos!AC16)," - ")</f>
        <v>129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140</v>
      </c>
      <c r="X16" s="226">
        <f>IF(ISNUMBER(Datos!Q16),Datos!Q16," - ")</f>
        <v>7</v>
      </c>
      <c r="Y16" s="334">
        <f t="shared" ref="Y16:Y17" si="7">SUM(W16:X16)</f>
        <v>147</v>
      </c>
      <c r="Z16" s="335" t="str">
        <f>IF(ISNUMBER(Datos!CC16),Datos!CC16," - ")</f>
        <v xml:space="preserve"> - </v>
      </c>
      <c r="AA16" s="332">
        <f>IF(ISNUMBER(IF(D_I="SI",Datos!L16,Datos!L16+Datos!AF16)),IF(D_I="SI",Datos!L16,Datos!L16+Datos!AF16)," - ")</f>
        <v>109</v>
      </c>
      <c r="AB16" s="334">
        <f>IF(ISNUMBER(Datos!R16),Datos!R16," - ")</f>
        <v>11</v>
      </c>
      <c r="AC16" s="334">
        <f t="shared" si="6"/>
        <v>120</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11</v>
      </c>
      <c r="AJ16" s="231" t="str">
        <f>IF(ISNUMBER(Datos!BW16),Datos!BW16," - ")</f>
        <v xml:space="preserve"> - </v>
      </c>
      <c r="AK16" s="232" t="str">
        <f>IF(ISNUMBER(Datos!BX16),Datos!BX16," - ")</f>
        <v xml:space="preserve"> - </v>
      </c>
      <c r="AL16" s="243">
        <f>IF(ISNUMBER(NºAsuntos!G16/NºAsuntos!E16),NºAsuntos!G16/NºAsuntos!E16," - ")</f>
        <v>1.0294117647058822</v>
      </c>
      <c r="AM16" s="260">
        <f>IF(ISNUMBER(((NºAsuntos!I16/NºAsuntos!G16)*11)/factor_trimestre),((NºAsuntos!I16/NºAsuntos!G16)*11)/factor_trimestre," - ")</f>
        <v>2.3357142857142859</v>
      </c>
      <c r="AN16" s="244">
        <f>IF(ISNUMBER('Resol  Asuntos'!D16/NºAsuntos!G16),'Resol  Asuntos'!D16/NºAsuntos!G16," - ")</f>
        <v>7.857142857142857E-2</v>
      </c>
      <c r="AO16" s="245">
        <f>IF(ISNUMBER((NºAsuntos!C16+NºAsuntos!E16)/NºAsuntos!G16),(NºAsuntos!C16+NºAsuntos!E16)/NºAsuntos!G16," - ")</f>
        <v>1.8928571428571428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0</v>
      </c>
      <c r="X17" s="226">
        <f>IF(ISNUMBER(Datos!Q17),Datos!Q17," - ")</f>
        <v>0</v>
      </c>
      <c r="Y17" s="334">
        <f t="shared" si="7"/>
        <v>0</v>
      </c>
      <c r="Z17" s="335" t="str">
        <f>IF(ISNUMBER(Datos!CC17),Datos!CC17," - ")</f>
        <v xml:space="preserve"> - </v>
      </c>
      <c r="AA17" s="332">
        <f>IF(ISNUMBER(Datos!L17),Datos!L17,"-")</f>
        <v>13</v>
      </c>
      <c r="AB17" s="334">
        <f>IF(ISNUMBER(Datos!R17),Datos!R17," - ")</f>
        <v>0</v>
      </c>
      <c r="AC17" s="334">
        <f t="shared" si="6"/>
        <v>13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0</v>
      </c>
      <c r="AM17" s="260" t="str">
        <f>IF(ISNUMBER(((NºAsuntos!I17/NºAsuntos!G17)*11)/factor_trimestre),((NºAsuntos!I17/NºAsuntos!G17)*11)/factor_trimestre," - ")</f>
        <v xml:space="preserve"> - </v>
      </c>
      <c r="AN17" s="244" t="str">
        <f>IF(ISNUMBER('Resol  Asuntos'!D17/NºAsuntos!G17),'Resol  Asuntos'!D17/NºAsuntos!G17," - ")</f>
        <v xml:space="preserve"> - </v>
      </c>
      <c r="AO17" s="245" t="str">
        <f>IF(ISNUMBER((NºAsuntos!C17+NºAsuntos!E17)/NºAsuntos!G17),(NºAsuntos!C17+NºAsuntos!E17)/NºAsuntos!G17," - ")</f>
        <v xml:space="preserve"> - </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113</v>
      </c>
      <c r="G18" s="866">
        <f>SUBTOTAL(9,G15:G17)</f>
        <v>139</v>
      </c>
      <c r="H18" s="865">
        <f t="shared" ref="H18:O18" si="10">SUBTOTAL(9,H14:H17)</f>
        <v>0</v>
      </c>
      <c r="I18" s="867">
        <f t="shared" si="10"/>
        <v>0</v>
      </c>
      <c r="J18" s="867">
        <f t="shared" si="10"/>
        <v>0</v>
      </c>
      <c r="K18" s="867">
        <f t="shared" si="10"/>
        <v>0</v>
      </c>
      <c r="L18" s="867">
        <f t="shared" si="10"/>
        <v>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140</v>
      </c>
      <c r="X18" s="867">
        <f t="shared" si="11"/>
        <v>7</v>
      </c>
      <c r="Y18" s="868">
        <f t="shared" si="11"/>
        <v>147</v>
      </c>
      <c r="Z18" s="868">
        <f t="shared" si="11"/>
        <v>0</v>
      </c>
      <c r="AA18" s="868">
        <f t="shared" si="11"/>
        <v>122</v>
      </c>
      <c r="AB18" s="868">
        <f t="shared" si="11"/>
        <v>11</v>
      </c>
      <c r="AC18" s="868">
        <f t="shared" si="11"/>
        <v>133</v>
      </c>
      <c r="AD18" s="868">
        <f t="shared" si="11"/>
        <v>0</v>
      </c>
      <c r="AE18" s="872">
        <f t="shared" si="11"/>
        <v>0</v>
      </c>
      <c r="AF18" s="865">
        <f t="shared" si="11"/>
        <v>0</v>
      </c>
      <c r="AG18" s="873">
        <f t="shared" si="11"/>
        <v>0</v>
      </c>
      <c r="AH18" s="870">
        <f t="shared" si="11"/>
        <v>0</v>
      </c>
      <c r="AI18" s="865">
        <f t="shared" si="11"/>
        <v>11</v>
      </c>
      <c r="AJ18" s="867">
        <f t="shared" si="11"/>
        <v>0</v>
      </c>
      <c r="AK18" s="870">
        <f t="shared" si="11"/>
        <v>0</v>
      </c>
      <c r="AL18" s="874">
        <f>IF(ISNUMBER(NºAsuntos!G18/NºAsuntos!E18),NºAsuntos!G18/NºAsuntos!E18," - ")</f>
        <v>1.0071942446043165</v>
      </c>
      <c r="AM18" s="874">
        <f>IF(ISNUMBER(((NºAsuntos!I18/NºAsuntos!G18)*11)/factor_trimestre),((NºAsuntos!I18/NºAsuntos!G18)*11)/factor_trimestre," - ")</f>
        <v>2.6142857142857143</v>
      </c>
      <c r="AN18" s="875">
        <f>IF(ISNUMBER('Resol  Asuntos'!D18/NºAsuntos!G18),'Resol  Asuntos'!D18/NºAsuntos!G18," - ")</f>
        <v>7.857142857142857E-2</v>
      </c>
      <c r="AO18" s="876">
        <f>IF(ISNUMBER((NºAsuntos!C18+NºAsuntos!E18)/NºAsuntos!G18),(NºAsuntos!C18+NºAsuntos!E18)/NºAsuntos!G18," - ")</f>
        <v>1.9857142857142858</v>
      </c>
      <c r="AP18" s="877" t="str">
        <f t="shared" si="2"/>
        <v xml:space="preserve"> - </v>
      </c>
      <c r="AQ18" s="877">
        <f>IF(ISNUMBER((H18-W18+K18)/(F18)),(H18-W18+K18)/(F18)," - ")</f>
        <v>-1.2389380530973451</v>
      </c>
      <c r="AR18" s="878">
        <f>IF(ISNUMBER((Datos!P18-Datos!Q18)/(Datos!R18-Datos!P18+Datos!Q18)),(Datos!P18-Datos!Q18)/(Datos!R18-Datos!P18+Datos!Q18)," - ")</f>
        <v>-0.3125</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115</v>
      </c>
      <c r="G19" s="821">
        <f t="shared" si="13"/>
        <v>141</v>
      </c>
      <c r="H19" s="820">
        <f t="shared" si="13"/>
        <v>0</v>
      </c>
      <c r="I19" s="822">
        <f t="shared" si="13"/>
        <v>0</v>
      </c>
      <c r="J19" s="822">
        <f t="shared" si="13"/>
        <v>0</v>
      </c>
      <c r="K19" s="881">
        <f t="shared" si="13"/>
        <v>0</v>
      </c>
      <c r="L19" s="822">
        <f t="shared" si="13"/>
        <v>25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142</v>
      </c>
      <c r="X19" s="821">
        <f t="shared" si="14"/>
        <v>18</v>
      </c>
      <c r="Y19" s="828">
        <f t="shared" si="14"/>
        <v>160</v>
      </c>
      <c r="Z19" s="828">
        <f t="shared" si="14"/>
        <v>0</v>
      </c>
      <c r="AA19" s="828">
        <f t="shared" si="14"/>
        <v>123</v>
      </c>
      <c r="AB19" s="828">
        <f t="shared" si="14"/>
        <v>473</v>
      </c>
      <c r="AC19" s="828">
        <f t="shared" si="14"/>
        <v>134</v>
      </c>
      <c r="AD19" s="828">
        <f t="shared" si="14"/>
        <v>0</v>
      </c>
      <c r="AE19" s="830">
        <f t="shared" si="14"/>
        <v>0</v>
      </c>
      <c r="AF19" s="831">
        <f t="shared" si="14"/>
        <v>0</v>
      </c>
      <c r="AG19" s="832">
        <f t="shared" si="14"/>
        <v>0</v>
      </c>
      <c r="AH19" s="830">
        <f t="shared" si="14"/>
        <v>0</v>
      </c>
      <c r="AI19" s="820">
        <f t="shared" si="14"/>
        <v>30</v>
      </c>
      <c r="AJ19" s="820">
        <f t="shared" si="14"/>
        <v>0</v>
      </c>
      <c r="AK19" s="830">
        <f t="shared" si="14"/>
        <v>0</v>
      </c>
      <c r="AL19" s="884">
        <f>IF(ISNUMBER(NºAsuntos!G19/NºAsuntos!E19),NºAsuntos!G19/NºAsuntos!E19," - ")</f>
        <v>1.0123456790123457</v>
      </c>
      <c r="AM19" s="885">
        <f>IF(ISNUMBER(((NºAsuntos!I19/NºAsuntos!G19)*11)/factor_trimestre),((NºAsuntos!I19/NºAsuntos!G19)*11)/factor_trimestre," - ")</f>
        <v>5.3048780487804885</v>
      </c>
      <c r="AN19" s="885">
        <f>IF(ISNUMBER('Resol  Asuntos'!D19/NºAsuntos!G19),'Resol  Asuntos'!D19/NºAsuntos!G19," - ")</f>
        <v>0.12195121951219512</v>
      </c>
      <c r="AO19" s="886">
        <f>IF(ISNUMBER((NºAsuntos!C19+NºAsuntos!E19)/NºAsuntos!G19),(NºAsuntos!C19+NºAsuntos!E19)/NºAsuntos!G19," - ")</f>
        <v>2.8089430894308944</v>
      </c>
      <c r="AP19" s="887" t="str">
        <f t="shared" si="2"/>
        <v xml:space="preserve"> - </v>
      </c>
      <c r="AQ19" s="888">
        <f>IF(OR(ISNUMBER(FIND("01",Criterios!A8,1)),ISNUMBER(FIND("02",Criterios!A8,1)),ISNUMBER(FIND("03",Criterios!A8,1)),ISNUMBER(FIND("04",Criterios!A8,1))),(I19-W19+K19)/(F19-K19),(H19-W19+K19)/(F19-K19))</f>
        <v>-1.2347826086956522</v>
      </c>
      <c r="AR19" s="889">
        <f>IF(ISNUMBER((Datos!P19-Datos!Q19)/(Datos!R19-Datos!P19+Datos!Q19)),(Datos!P19-Datos!Q19)/(Datos!R19-Datos!P19+Datos!Q19)," - ")</f>
        <v>1.5021459227467811E-2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56.4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64.085879880048466</v>
      </c>
      <c r="G21" s="253">
        <f>IF(ISNUMBER(STDEV(G8:G18)),STDEV(G8:G18),"-")</f>
        <v>71.002112644624873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75.955249983131509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8.5322916030806173</v>
      </c>
      <c r="AJ21" s="252">
        <f t="shared" si="18"/>
        <v>0</v>
      </c>
      <c r="AK21" s="254">
        <f t="shared" si="18"/>
        <v>0</v>
      </c>
      <c r="AL21" s="249">
        <f t="shared" si="18"/>
        <v>0.63256064615937968</v>
      </c>
      <c r="AM21" s="250">
        <f t="shared" si="18"/>
        <v>3.7360528438834546</v>
      </c>
      <c r="AN21" s="250">
        <f t="shared" si="18"/>
        <v>7.7400560852451908E-2</v>
      </c>
      <c r="AO21" s="251">
        <f t="shared" si="18"/>
        <v>1.1789787801790932</v>
      </c>
      <c r="AP21" s="291" t="str">
        <f t="shared" si="18"/>
        <v>-</v>
      </c>
      <c r="AQ21" s="292">
        <f t="shared" si="18"/>
        <v>0.16895471762864384</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may. 2024</v>
      </c>
      <c r="D30" s="120"/>
    </row>
    <row r="32" spans="1:65">
      <c r="C32" s="1"/>
      <c r="D32" s="1"/>
    </row>
  </sheetData>
  <sheetProtection algorithmName="SHA-512" hashValue="yhPJQawehZBxqgkMrwBtvQv/ZXZKtz/3IhUDpp5hk4n8HYT5ePrD0Yqg4YBOr44pAxwxZ6HaS3hSAREQLcb1Yg==" saltValue="ZVaqKnWEdey42uAG8SDqZQ=="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4" priority="249" stopIfTrue="1" operator="notBetween">
      <formula>$E$25</formula>
      <formula>$E$26</formula>
    </cfRule>
  </conditionalFormatting>
  <conditionalFormatting sqref="F15:F17 F9:F12">
    <cfRule type="cellIs" dxfId="653" priority="322" stopIfTrue="1" operator="notBetween">
      <formula>$F$25</formula>
      <formula>$F$26</formula>
    </cfRule>
  </conditionalFormatting>
  <conditionalFormatting sqref="F9:G9 F10:F12 F15:F17">
    <cfRule type="expression" dxfId="652" priority="303" stopIfTrue="1">
      <formula>IF(F9&lt;&gt;G9,TRUE,FALSE)</formula>
    </cfRule>
  </conditionalFormatting>
  <conditionalFormatting sqref="G10:G12 G15:G17">
    <cfRule type="cellIs" dxfId="651" priority="305" stopIfTrue="1" operator="between">
      <formula>$G$25</formula>
      <formula>$G$26</formula>
    </cfRule>
  </conditionalFormatting>
  <conditionalFormatting sqref="H11">
    <cfRule type="cellIs" dxfId="650" priority="72" stopIfTrue="1" operator="greaterThan">
      <formula>$BG$11</formula>
    </cfRule>
    <cfRule type="cellIs" dxfId="649" priority="73" stopIfTrue="1" operator="lessThan">
      <formula>$BF$11</formula>
    </cfRule>
  </conditionalFormatting>
  <conditionalFormatting sqref="H12">
    <cfRule type="cellIs" dxfId="648" priority="70" stopIfTrue="1" operator="greaterThan">
      <formula>$BG$12</formula>
    </cfRule>
    <cfRule type="cellIs" dxfId="647" priority="71" stopIfTrue="1" operator="lessThan">
      <formula>$BF$12</formula>
    </cfRule>
  </conditionalFormatting>
  <conditionalFormatting sqref="L15:L17 L9:L12">
    <cfRule type="cellIs" dxfId="646" priority="1343" stopIfTrue="1" operator="notBetween">
      <formula>$L$25</formula>
      <formula>$L$26</formula>
    </cfRule>
  </conditionalFormatting>
  <conditionalFormatting sqref="M15:M17 M9:M12">
    <cfRule type="cellIs" dxfId="645" priority="1344" stopIfTrue="1" operator="notBetween">
      <formula>$M$25</formula>
      <formula>$M$26</formula>
    </cfRule>
  </conditionalFormatting>
  <conditionalFormatting sqref="N9">
    <cfRule type="cellIs" dxfId="644" priority="1265" stopIfTrue="1" operator="greaterThan">
      <formula>$BM$9</formula>
    </cfRule>
    <cfRule type="cellIs" dxfId="643" priority="1266" stopIfTrue="1" operator="lessThan">
      <formula>$BL$9</formula>
    </cfRule>
  </conditionalFormatting>
  <conditionalFormatting sqref="N10">
    <cfRule type="cellIs" dxfId="642" priority="1269" stopIfTrue="1" operator="greaterThan">
      <formula>$BM$10</formula>
    </cfRule>
    <cfRule type="cellIs" dxfId="641" priority="1270" stopIfTrue="1" operator="lessThan">
      <formula>$BL$10</formula>
    </cfRule>
  </conditionalFormatting>
  <conditionalFormatting sqref="N11">
    <cfRule type="cellIs" dxfId="640" priority="1273" stopIfTrue="1" operator="greaterThan">
      <formula>$BM$11</formula>
    </cfRule>
    <cfRule type="cellIs" dxfId="639" priority="1274" stopIfTrue="1" operator="lessThan">
      <formula>$BL$11</formula>
    </cfRule>
  </conditionalFormatting>
  <conditionalFormatting sqref="N11:N12">
    <cfRule type="cellIs" dxfId="638" priority="111" stopIfTrue="1" operator="greaterThan">
      <formula>$BM$9</formula>
    </cfRule>
    <cfRule type="cellIs" dxfId="637" priority="112" stopIfTrue="1" operator="lessThan">
      <formula>$BL$9</formula>
    </cfRule>
  </conditionalFormatting>
  <conditionalFormatting sqref="N12">
    <cfRule type="cellIs" dxfId="636" priority="769" stopIfTrue="1" operator="greaterThan">
      <formula>$BG$12</formula>
    </cfRule>
    <cfRule type="cellIs" dxfId="635" priority="770" stopIfTrue="1" operator="lessThan">
      <formula>$BF$12</formula>
    </cfRule>
  </conditionalFormatting>
  <conditionalFormatting sqref="N15">
    <cfRule type="cellIs" dxfId="634" priority="1289" stopIfTrue="1" operator="greaterThan">
      <formula>$BM$15</formula>
    </cfRule>
    <cfRule type="cellIs" dxfId="633" priority="1290" stopIfTrue="1" operator="lessThan">
      <formula>$BL$15</formula>
    </cfRule>
  </conditionalFormatting>
  <conditionalFormatting sqref="N16">
    <cfRule type="cellIs" dxfId="632" priority="785" stopIfTrue="1" operator="greaterThan">
      <formula>$BG$16</formula>
    </cfRule>
    <cfRule type="cellIs" dxfId="631" priority="786" stopIfTrue="1" operator="lessThan">
      <formula>$BF$16</formula>
    </cfRule>
  </conditionalFormatting>
  <conditionalFormatting sqref="N17">
    <cfRule type="cellIs" dxfId="630" priority="155" stopIfTrue="1" operator="greaterThan">
      <formula>$BM$17</formula>
    </cfRule>
    <cfRule type="cellIs" dxfId="629" priority="156" stopIfTrue="1" operator="lessThan">
      <formula>$BL$17</formula>
    </cfRule>
  </conditionalFormatting>
  <conditionalFormatting sqref="N17">
    <cfRule type="cellIs" dxfId="628" priority="127" stopIfTrue="1" operator="greaterThan">
      <formula>$BM$15</formula>
    </cfRule>
    <cfRule type="cellIs" dxfId="627" priority="128" stopIfTrue="1" operator="lessThan">
      <formula>$BL$15</formula>
    </cfRule>
  </conditionalFormatting>
  <conditionalFormatting sqref="O10">
    <cfRule type="expression" dxfId="626" priority="82" stopIfTrue="1">
      <formula>$O$12&lt;$BL$12</formula>
    </cfRule>
    <cfRule type="expression" dxfId="625" priority="83" stopIfTrue="1">
      <formula>$O$12&gt;$BM$12</formula>
    </cfRule>
  </conditionalFormatting>
  <conditionalFormatting sqref="O12">
    <cfRule type="expression" dxfId="624" priority="1721" stopIfTrue="1">
      <formula>$O$12&lt;$BL$12</formula>
    </cfRule>
    <cfRule type="expression" dxfId="623" priority="1722" stopIfTrue="1">
      <formula>$O$12&gt;$BM$12</formula>
    </cfRule>
  </conditionalFormatting>
  <conditionalFormatting sqref="O16:O17">
    <cfRule type="cellIs" dxfId="622" priority="80" stopIfTrue="1" operator="lessThan">
      <formula>$BL$16</formula>
    </cfRule>
    <cfRule type="cellIs" dxfId="621" priority="81" stopIfTrue="1" operator="greaterThan">
      <formula>$BM$16</formula>
    </cfRule>
  </conditionalFormatting>
  <conditionalFormatting sqref="P9:Q12">
    <cfRule type="cellIs" dxfId="620" priority="110" stopIfTrue="1" operator="notBetween">
      <formula>$Q$25</formula>
      <formula>$Q$26</formula>
    </cfRule>
  </conditionalFormatting>
  <conditionalFormatting sqref="P15:Q17">
    <cfRule type="cellIs" dxfId="619" priority="108" stopIfTrue="1" operator="notBetween">
      <formula>$Q$25</formula>
      <formula>$Q$26</formula>
    </cfRule>
  </conditionalFormatting>
  <conditionalFormatting sqref="R15:R17 R9:R12">
    <cfRule type="cellIs" dxfId="618" priority="1346" stopIfTrue="1" operator="notBetween">
      <formula>$R$25</formula>
      <formula>$R$26</formula>
    </cfRule>
  </conditionalFormatting>
  <conditionalFormatting sqref="S15:S17 S9:S12">
    <cfRule type="cellIs" dxfId="617" priority="1347" stopIfTrue="1" operator="notBetween">
      <formula>$S$25</formula>
      <formula>$S$26</formula>
    </cfRule>
  </conditionalFormatting>
  <conditionalFormatting sqref="T15:T17 T9:T12">
    <cfRule type="cellIs" dxfId="616" priority="1348" stopIfTrue="1" operator="notBetween">
      <formula>$T$25</formula>
      <formula>$T$26</formula>
    </cfRule>
  </conditionalFormatting>
  <conditionalFormatting sqref="V15:V17 V9:V12">
    <cfRule type="cellIs" dxfId="615" priority="85" stopIfTrue="1" operator="notBetween">
      <formula>$V$25</formula>
      <formula>$V$26</formula>
    </cfRule>
  </conditionalFormatting>
  <conditionalFormatting sqref="W15:W17 W9:W12">
    <cfRule type="cellIs" dxfId="614" priority="307" stopIfTrue="1" operator="notBetween">
      <formula>$W$25</formula>
      <formula>$W$26</formula>
    </cfRule>
  </conditionalFormatting>
  <conditionalFormatting sqref="X15:X17 X9:X12">
    <cfRule type="cellIs" dxfId="613" priority="1350" stopIfTrue="1" operator="notBetween">
      <formula>$X$25</formula>
      <formula>$X$26</formula>
    </cfRule>
  </conditionalFormatting>
  <conditionalFormatting sqref="Y15:Y17 Y9:Y12">
    <cfRule type="cellIs" dxfId="612" priority="1351" stopIfTrue="1" operator="notBetween">
      <formula>$Y$25</formula>
      <formula>$Y$26</formula>
    </cfRule>
  </conditionalFormatting>
  <conditionalFormatting sqref="Z15:Z17 Z9:Z12">
    <cfRule type="cellIs" dxfId="611" priority="1358" stopIfTrue="1" operator="notBetween">
      <formula>$Z$25</formula>
      <formula>$Z$26</formula>
    </cfRule>
  </conditionalFormatting>
  <conditionalFormatting sqref="AA15:AA17 AA9:AA12">
    <cfRule type="cellIs" dxfId="610" priority="1359" stopIfTrue="1" operator="notBetween">
      <formula>$AA$25</formula>
      <formula>$AA$26</formula>
    </cfRule>
  </conditionalFormatting>
  <conditionalFormatting sqref="AB15:AB17 AB9:AB12">
    <cfRule type="cellIs" dxfId="609" priority="1352" stopIfTrue="1" operator="notBetween">
      <formula>$AB$25</formula>
      <formula>$AB$26</formula>
    </cfRule>
  </conditionalFormatting>
  <conditionalFormatting sqref="AC15:AC17 AC9:AC12">
    <cfRule type="cellIs" dxfId="608" priority="1360" stopIfTrue="1" operator="notBetween">
      <formula>$AC$25</formula>
      <formula>$AC$26</formula>
    </cfRule>
  </conditionalFormatting>
  <conditionalFormatting sqref="AD15:AD17 AD9:AD12">
    <cfRule type="cellIs" dxfId="607" priority="1353" stopIfTrue="1" operator="notBetween">
      <formula>$AD$25</formula>
      <formula>$AD$26</formula>
    </cfRule>
  </conditionalFormatting>
  <conditionalFormatting sqref="AE15:AE17 AE9:AE12">
    <cfRule type="cellIs" dxfId="606" priority="311" stopIfTrue="1" operator="notBetween">
      <formula>$AE$25</formula>
      <formula>$AE$26</formula>
    </cfRule>
  </conditionalFormatting>
  <conditionalFormatting sqref="AF15:AF17 AF9:AF12">
    <cfRule type="cellIs" dxfId="605" priority="308" stopIfTrue="1" operator="notBetween">
      <formula>$AF$25</formula>
      <formula>$AF$26</formula>
    </cfRule>
  </conditionalFormatting>
  <conditionalFormatting sqref="AG15:AG17 AG9:AG12">
    <cfRule type="cellIs" dxfId="604" priority="1719" stopIfTrue="1" operator="notBetween">
      <formula>$AG$25</formula>
      <formula>$AG$26</formula>
    </cfRule>
  </conditionalFormatting>
  <conditionalFormatting sqref="AH15:AH17 AH9:AH12">
    <cfRule type="cellIs" dxfId="603" priority="1354" stopIfTrue="1" operator="notBetween">
      <formula>$AH$25</formula>
      <formula>$AH$26</formula>
    </cfRule>
  </conditionalFormatting>
  <conditionalFormatting sqref="AI15:AI17 AI9:AI12">
    <cfRule type="cellIs" dxfId="602" priority="310" stopIfTrue="1" operator="notBetween">
      <formula>$AI$25</formula>
      <formula>$AI$26</formula>
    </cfRule>
  </conditionalFormatting>
  <conditionalFormatting sqref="AJ15:AJ17 AJ9:AJ12">
    <cfRule type="cellIs" dxfId="601" priority="312" stopIfTrue="1" operator="notBetween">
      <formula>$AJ$25</formula>
      <formula>$AJ$26</formula>
    </cfRule>
  </conditionalFormatting>
  <conditionalFormatting sqref="AK15:AK17 AK9:AK12">
    <cfRule type="cellIs" dxfId="600" priority="1355" stopIfTrue="1" operator="notBetween">
      <formula>$AK$25</formula>
      <formula>$AK$26</formula>
    </cfRule>
  </conditionalFormatting>
  <conditionalFormatting sqref="AL15:AL17 AL9:AL12">
    <cfRule type="cellIs" dxfId="599" priority="314" stopIfTrue="1" operator="notBetween">
      <formula>$AL$25</formula>
      <formula>$AL$26</formula>
    </cfRule>
  </conditionalFormatting>
  <conditionalFormatting sqref="AM15:AM17 AM9:AM12">
    <cfRule type="cellIs" dxfId="598" priority="318" stopIfTrue="1" operator="notBetween">
      <formula>$AM$25</formula>
      <formula>$AM$26</formula>
    </cfRule>
  </conditionalFormatting>
  <conditionalFormatting sqref="AN15:AN17 AN9:AN12">
    <cfRule type="cellIs" dxfId="597" priority="319" stopIfTrue="1" operator="notBetween">
      <formula>$AN$25</formula>
      <formula>$AN$26</formula>
    </cfRule>
  </conditionalFormatting>
  <conditionalFormatting sqref="AO15:AO17 AO9:AO12">
    <cfRule type="cellIs" dxfId="596" priority="320" stopIfTrue="1" operator="notBetween">
      <formula>$AO$25</formula>
      <formula>$AO$26</formula>
    </cfRule>
  </conditionalFormatting>
  <conditionalFormatting sqref="AP15:AP17 AP9:AP12">
    <cfRule type="cellIs" dxfId="595" priority="254" stopIfTrue="1" operator="notBetween">
      <formula>$AP$25</formula>
      <formula>$AP$26</formula>
    </cfRule>
  </conditionalFormatting>
  <conditionalFormatting sqref="AQ15:AQ17 AQ9:AQ12">
    <cfRule type="cellIs" dxfId="594" priority="251" stopIfTrue="1" operator="notBetween">
      <formula>$AQ$25</formula>
      <formula>$AQ$26</formula>
    </cfRule>
  </conditionalFormatting>
  <conditionalFormatting sqref="AR15:AR17 AR9:AR12">
    <cfRule type="cellIs" dxfId="593" priority="377" stopIfTrue="1" operator="notBetween">
      <formula>$AR$25</formula>
      <formula>$AR$26</formula>
    </cfRule>
  </conditionalFormatting>
  <conditionalFormatting sqref="AS15:AS17 AS9:AS12">
    <cfRule type="cellIs" dxfId="592" priority="250" stopIfTrue="1" operator="notBetween">
      <formula>$AS$25</formula>
      <formula>$AS$26</formula>
    </cfRule>
  </conditionalFormatting>
  <conditionalFormatting sqref="AT15:AT17 AT9:AT12">
    <cfRule type="cellIs" dxfId="591" priority="1356" stopIfTrue="1" operator="notBetween">
      <formula>$AT$25</formula>
      <formula>$AT$26</formula>
    </cfRule>
  </conditionalFormatting>
  <conditionalFormatting sqref="AU15:AU17 AU9:AU12">
    <cfRule type="cellIs" dxfId="590" priority="1357" stopIfTrue="1" operator="notBetween">
      <formula>$AU$25</formula>
      <formula>$AU$26</formula>
    </cfRule>
  </conditionalFormatting>
  <conditionalFormatting sqref="AV15:AW17 AV9:AW12">
    <cfRule type="cellIs" dxfId="589" priority="1" stopIfTrue="1" operator="notBetween">
      <formula>$AV$25</formula>
      <formula>$AV$26</formula>
    </cfRule>
  </conditionalFormatting>
  <conditionalFormatting sqref="BF8:BM8 BF13:BM14 BF18:BM19">
    <cfRule type="cellIs" dxfId="588" priority="759" stopIfTrue="1" operator="equal">
      <formula>$A$31</formula>
    </cfRule>
  </conditionalFormatting>
  <conditionalFormatting sqref="BF15:BM17 BF9:BM12">
    <cfRule type="cellIs" dxfId="587" priority="758" stopIfTrue="1" operator="equal">
      <formula>$A$31</formula>
    </cfRule>
  </conditionalFormatting>
  <conditionalFormatting sqref="N10">
    <cfRule type="cellIs" dxfId="586" priority="3346" stopIfTrue="1" operator="greaterThan">
      <formula>#REF!</formula>
    </cfRule>
    <cfRule type="cellIs" dxfId="585"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ASTURIAS</v>
      </c>
      <c r="E2" s="263"/>
    </row>
    <row r="3" spans="2:20" ht="17.25" customHeight="1">
      <c r="C3" s="267"/>
      <c r="D3" s="262" t="str">
        <f>Criterios!A10 &amp;"  "&amp;Criterios!B10</f>
        <v>Provincias  ASTURIAS</v>
      </c>
      <c r="E3" s="263"/>
    </row>
    <row r="4" spans="2:20" ht="17.25" customHeight="1" thickBot="1">
      <c r="D4" s="262" t="str">
        <f>Criterios!A11 &amp;"  "&amp;Criterios!B11</f>
        <v>Resumenes por Partidos Judiciales  TINEO</v>
      </c>
      <c r="E4" s="263"/>
    </row>
    <row r="5" spans="2:20" ht="12.75" customHeight="1">
      <c r="B5" s="272"/>
      <c r="C5" s="1286" t="str">
        <f>"Año:  " &amp;Criterios!B5 &amp; "          Trimestre   " &amp;Criterios!D5 &amp; " al " &amp;Criterios!D6</f>
        <v>Año:  2024          Trimestre   1 al 1</v>
      </c>
      <c r="D5" s="1274" t="s">
        <v>128</v>
      </c>
      <c r="E5" s="1316" t="s">
        <v>13</v>
      </c>
      <c r="F5" s="1313" t="s">
        <v>9</v>
      </c>
      <c r="G5" s="1310" t="s">
        <v>129</v>
      </c>
      <c r="H5" s="1307" t="s">
        <v>7</v>
      </c>
      <c r="I5" s="1271" t="s">
        <v>120</v>
      </c>
      <c r="J5" s="1300" t="s">
        <v>121</v>
      </c>
      <c r="K5" s="1262" t="s">
        <v>122</v>
      </c>
      <c r="M5" s="162"/>
      <c r="N5" s="170" t="s">
        <v>277</v>
      </c>
      <c r="O5" s="162"/>
      <c r="P5" s="162"/>
      <c r="Q5" s="171" t="s">
        <v>278</v>
      </c>
      <c r="R5" s="171"/>
      <c r="S5" s="169"/>
      <c r="T5" s="169"/>
    </row>
    <row r="6" spans="2:20" ht="12.75" customHeight="1">
      <c r="B6" s="273"/>
      <c r="C6" s="1287"/>
      <c r="D6" s="1275"/>
      <c r="E6" s="1317"/>
      <c r="F6" s="1314"/>
      <c r="G6" s="1311"/>
      <c r="H6" s="1308"/>
      <c r="I6" s="1272"/>
      <c r="J6" s="1301"/>
      <c r="K6" s="1263"/>
      <c r="M6" s="1303" t="s">
        <v>293</v>
      </c>
      <c r="N6" s="1303" t="s">
        <v>274</v>
      </c>
      <c r="O6" s="1303" t="s">
        <v>275</v>
      </c>
      <c r="P6" s="1303" t="s">
        <v>276</v>
      </c>
      <c r="Q6" s="1303" t="s">
        <v>293</v>
      </c>
      <c r="R6" s="1303" t="s">
        <v>274</v>
      </c>
      <c r="S6" s="1303" t="s">
        <v>275</v>
      </c>
      <c r="T6" s="1303" t="s">
        <v>276</v>
      </c>
    </row>
    <row r="7" spans="2:20" ht="23.25" customHeight="1" thickBot="1">
      <c r="B7" s="274"/>
      <c r="C7" s="264" t="str">
        <f>Datos!A7</f>
        <v>COMPETENCIAS</v>
      </c>
      <c r="D7" s="1319"/>
      <c r="E7" s="1318"/>
      <c r="F7" s="1315"/>
      <c r="G7" s="1312"/>
      <c r="H7" s="1309"/>
      <c r="I7" s="1320"/>
      <c r="J7" s="1304"/>
      <c r="K7" s="1305"/>
      <c r="M7" s="1303"/>
      <c r="N7" s="1303"/>
      <c r="O7" s="1303"/>
      <c r="P7" s="1303"/>
      <c r="Q7" s="1303"/>
      <c r="R7" s="1303"/>
      <c r="S7" s="1303"/>
      <c r="T7" s="1303"/>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f>IF(ISNUMBER((Datos!J10-Datos!T10)/Datos!T10),(Datos!J10-Datos!T10)/Datos!T10," - ")</f>
        <v>-0.66666666666666663</v>
      </c>
      <c r="F10" s="348" t="str">
        <f>IF(ISNUMBER((Datos!K10-Datos!U10)/Datos!U10),(Datos!K10-Datos!U10)/Datos!U10," - ")</f>
        <v xml:space="preserve"> - </v>
      </c>
      <c r="G10" s="349">
        <f>IF(ISNUMBER((Datos!L10-Datos!V10)/Datos!V10),(Datos!L10-Datos!V10)/Datos!V10," - ")</f>
        <v>-0.66666666666666663</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0.26666666666666666</v>
      </c>
      <c r="I12" s="350">
        <f>IF(ISNUMBER((Tasas!C12-Datos!BE12)/Datos!BE12),(Tasas!C12-Datos!BE12)/Datos!BE12," - ")</f>
        <v>6.6666666666666666E-2</v>
      </c>
      <c r="J12" s="349">
        <f>IF(ISNUMBER((Tasas!D12-Datos!BF12)/Datos!BF12),(Tasas!D12-Datos!BF12)/Datos!BF12," - ")</f>
        <v>-0.67521367521367515</v>
      </c>
      <c r="K12" s="351">
        <f>IF(ISNUMBER((Tasas!E12-Datos!BG12)/Datos!BG12),(Tasas!E12-Datos!BG12)/Datos!BG12," - ")</f>
        <v>3.4047919293820984E-2</v>
      </c>
      <c r="M12" t="e">
        <f>IF(Monitorios="SI",Datos!CE12,0)</f>
        <v>#REF!</v>
      </c>
      <c r="N12" t="e">
        <f>IF(Monitorios="SI",Datos!CF12,0)</f>
        <v>#REF!</v>
      </c>
      <c r="O12" t="e">
        <f>IF(Monitorios="SI",Datos!CG12,0)</f>
        <v>#REF!</v>
      </c>
      <c r="P12" t="e">
        <f>IF(Monitorios="SI",Datos!CH12,0)</f>
        <v>#REF!</v>
      </c>
      <c r="Q12">
        <f>IF(J_V="SI",0,Datos!AG12)</f>
        <v>6</v>
      </c>
      <c r="R12">
        <f>IF(J_V="SI",0,Datos!AH12)</f>
        <v>4</v>
      </c>
      <c r="S12">
        <f>IF(J_V="SI",0,Datos!AI12)</f>
        <v>4</v>
      </c>
      <c r="T12">
        <f>IF(J_V="SI",0,Datos!AJ12)</f>
        <v>6</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0.26666666666666666</v>
      </c>
      <c r="I13" s="357">
        <f>IF(ISNUMBER((Tasas!C13-Datos!BE13)/Datos!BE13),(Tasas!C13-Datos!BE13)/Datos!BE13," - ")</f>
        <v>3.6080767957629857E-2</v>
      </c>
      <c r="J13" s="355">
        <f>IF(ISNUMBER((Tasas!D13-Datos!BF13)/Datos!BF13),(Tasas!D13-Datos!BF13)/Datos!BF13," - ")</f>
        <v>-0.68134171907756824</v>
      </c>
      <c r="K13" s="358">
        <f>IF(ISNUMBER((Tasas!E13-Datos!BG13)/Datos!BG13),(Tasas!E13-Datos!BG13)/Datos!BG13," - ")</f>
        <v>1.2006861063464849E-2</v>
      </c>
      <c r="M13" t="e">
        <f>IF(Monitorios="SI",Datos!CE13,0)</f>
        <v>#REF!</v>
      </c>
      <c r="N13" t="e">
        <f>IF(Monitorios="SI",Datos!CF13,0)</f>
        <v>#REF!</v>
      </c>
      <c r="O13" t="e">
        <f>IF(Monitorios="SI",Datos!CG13,0)</f>
        <v>#REF!</v>
      </c>
      <c r="P13" t="e">
        <f>IF(Monitorios="SI",Datos!CH13,0)</f>
        <v>#REF!</v>
      </c>
      <c r="Q13">
        <f>IF(J_V="SI",0,Datos!AG13)</f>
        <v>6</v>
      </c>
      <c r="R13">
        <f>IF(J_V="SI",0,Datos!AH13)</f>
        <v>4</v>
      </c>
      <c r="S13">
        <f>IF(J_V="SI",0,Datos!AI13)</f>
        <v>4</v>
      </c>
      <c r="T13">
        <f>IF(J_V="SI",0,Datos!AJ13)</f>
        <v>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4.0322580645161289E-2</v>
      </c>
      <c r="E16" s="348">
        <f>IF(ISNUMBER(
   IF(D_I="SI",(Datos!J16-Datos!T16)/Datos!T16,(Datos!J16+Datos!AD16-(Datos!T16+Datos!AL16))/(Datos!T16+Datos!AL16))
     ),IF(D_I="SI",(Datos!J16-Datos!T16)/Datos!T16,(Datos!J16+Datos!AD16-(Datos!T16+Datos!AL16))/(Datos!T16+Datos!AL16))," - ")</f>
        <v>-0.16049382716049382</v>
      </c>
      <c r="F16" s="348">
        <f>IF(ISNUMBER(
   IF(D_I="SI",(Datos!K16-Datos!U16)/Datos!U16,(Datos!K16+Datos!AE16-(Datos!U16+Datos!AM16))/(Datos!U16+Datos!AM16))
     ),IF(D_I="SI",(Datos!K16-Datos!U16)/Datos!U16,(Datos!K16+Datos!AE16-(Datos!U16+Datos!AM16))/(Datos!U16+Datos!AM16))," - ")</f>
        <v>-9.6774193548387094E-2</v>
      </c>
      <c r="G16" s="349">
        <f>IF(ISNUMBER(
   IF(D_I="SI",(Datos!L16-Datos!V16)/Datos!V16,(Datos!L16+Datos!AF16-(Datos!V16+Datos!AN16))/(Datos!V16+Datos!AN16))
     ),IF(D_I="SI",(Datos!L16-Datos!V16)/Datos!V16,(Datos!L16+Datos!AF16-(Datos!V16+Datos!AN16))/(Datos!V16+Datos!AN16))," - ")</f>
        <v>-0.18656716417910449</v>
      </c>
      <c r="H16" s="230">
        <f>IF(ISNUMBER((Datos!M16-Datos!W16)/Datos!W16),(Datos!M16-Datos!W16)/Datos!W16," - ")</f>
        <v>0.83333333333333337</v>
      </c>
      <c r="I16" s="350">
        <f>IF(ISNUMBER((Tasas!C16-Datos!BE16)/Datos!BE16),(Tasas!C16-Datos!BE16)/Datos!BE16," - ")</f>
        <v>-9.941364605543708E-2</v>
      </c>
      <c r="J16" s="349">
        <f>IF(ISNUMBER((Tasas!D16-Datos!BF16)/Datos!BF16),(Tasas!D16-Datos!BF16)/Datos!BF16," - ")</f>
        <v>1.0297619047619047</v>
      </c>
      <c r="K16" s="351">
        <f>IF(ISNUMBER((Tasas!E16-Datos!BG16)/Datos!BG16),(Tasas!E16-Datos!BG16)/Datos!BG16," - ")</f>
        <v>2.5849150849150789E-2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2.3333333333333335</v>
      </c>
      <c r="E17" s="348">
        <f>IF(ISNUMBER(
   IF(D_I="SI",(Datos!J17-Datos!T17)/Datos!T17,(Datos!J17+Datos!AD17-(Datos!T17+Datos!AL17))/(Datos!T17+Datos!AL17))
     ),IF(D_I="SI",(Datos!J17-Datos!T17)/Datos!T17,(Datos!J17+Datos!AD17-(Datos!T17+Datos!AL17))/(Datos!T17+Datos!AL17))," - ")</f>
        <v>-0.72727272727272729</v>
      </c>
      <c r="F17" s="348">
        <f>IF(ISNUMBER(
   IF(D_I="SI",(Datos!K17-Datos!U17)/Datos!U17,(Datos!K17+Datos!AE17-(Datos!U17+Datos!AM17))/(Datos!U17+Datos!AM17))
     ),IF(D_I="SI",(Datos!K17-Datos!U17)/Datos!U17,(Datos!K17+Datos!AE17-(Datos!U17+Datos!AM17))/(Datos!U17+Datos!AM17))," - ")</f>
        <v>-1</v>
      </c>
      <c r="G17" s="349">
        <f>IF(ISNUMBER(
   IF(D_I="SI",(Datos!L17-Datos!V17)/Datos!V17,(Datos!L17+Datos!AF17-(Datos!V17+Datos!AN17))/(Datos!V17+Datos!AN17))
     ),IF(D_I="SI",(Datos!L17-Datos!V17)/Datos!V17,(Datos!L17+Datos!AF17-(Datos!V17+Datos!AN17))/(Datos!V17+Datos!AN17))," - ")</f>
        <v>0.8571428571428571</v>
      </c>
      <c r="H17" s="230" t="str">
        <f>IF(ISNUMBER((Datos!M17-Datos!W17)/Datos!W17),(Datos!M17-Datos!W17)/Datos!W17," - ")</f>
        <v xml:space="preserve"> - </v>
      </c>
      <c r="I17" s="350" t="str">
        <f>IF(ISNUMBER((Tasas!C17-Datos!BE17)/Datos!BE17),(Tasas!C17-Datos!BE17)/Datos!BE17," - ")</f>
        <v xml:space="preserve"> - </v>
      </c>
      <c r="J17" s="349" t="str">
        <f>IF(ISNUMBER((Tasas!D17-Datos!BF17)/Datos!BF17),(Tasas!D17-Datos!BF17)/Datos!BF17," - ")</f>
        <v xml:space="preserve"> - </v>
      </c>
      <c r="K17" s="351" t="str">
        <f>IF(ISNUMBER((Tasas!E17-Datos!BG17)/Datos!BG17),(Tasas!E17-Datos!BG17)/Datos!BG17," - ")</f>
        <v xml:space="preserve"> - </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9.4488188976377951E-2</v>
      </c>
      <c r="E18" s="354">
        <f>IF(ISNUMBER(
   IF(D_I="SI",(Datos!J18-Datos!T18)/Datos!T18,(Datos!J18+Datos!AD18-(Datos!T18+Datos!AL18))/(Datos!T18+Datos!AL18))
     ),IF(D_I="SI",(Datos!J18-Datos!T18)/Datos!T18,(Datos!J18+Datos!AD18-(Datos!T18+Datos!AL18))/(Datos!T18+Datos!AL18))," - ")</f>
        <v>-0.19653179190751446</v>
      </c>
      <c r="F18" s="354">
        <f>IF(ISNUMBER(
   IF(D_I="SI",(Datos!K18-Datos!U18)/Datos!U18,(Datos!K18+Datos!AE18-(Datos!U18+Datos!AM18))/(Datos!U18+Datos!AM18))
     ),IF(D_I="SI",(Datos!K18-Datos!U18)/Datos!U18,(Datos!K18+Datos!AE18-(Datos!U18+Datos!AM18))/(Datos!U18+Datos!AM18))," - ")</f>
        <v>-0.13580246913580246</v>
      </c>
      <c r="G18" s="355">
        <f>IF(ISNUMBER(
   IF(D_I="SI",(Datos!L18-Datos!V18)/Datos!V18,(Datos!L18+Datos!AF18-(Datos!V18+Datos!AN18))/(Datos!V18+Datos!AN18))
     ),IF(D_I="SI",(Datos!L18-Datos!V18)/Datos!V18,(Datos!L18+Datos!AF18-(Datos!V18+Datos!AN18))/(Datos!V18+Datos!AN18))," - ")</f>
        <v>-0.13475177304964539</v>
      </c>
      <c r="H18" s="356">
        <f>IF(ISNUMBER((Datos!M18-Datos!W18)/Datos!W18),(Datos!M18-Datos!W18)/Datos!W18," - ")</f>
        <v>0.83333333333333337</v>
      </c>
      <c r="I18" s="357">
        <f>IF(ISNUMBER((Tasas!C18-Datos!BE18)/Datos!BE18),(Tasas!C18-Datos!BE18)/Datos!BE18," - ")</f>
        <v>1.2158054711246583E-3</v>
      </c>
      <c r="J18" s="355">
        <f>IF(ISNUMBER((Tasas!D18-Datos!BF18)/Datos!BF18),(Tasas!D18-Datos!BF18)/Datos!BF18," - ")</f>
        <v>1.1214285714285714</v>
      </c>
      <c r="K18" s="358">
        <f>IF(ISNUMBER((Tasas!E18-Datos!BG18)/Datos!BG18),(Tasas!E18-Datos!BG18)/Datos!BG18," - ")</f>
        <v>7.2285714285714314E-2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0.27635327635327633</v>
      </c>
      <c r="E19" s="363">
        <f>IF(ISNUMBER(
   IF(J_V="SI",(Datos!J19-Datos!T19)/Datos!T19,(Datos!J19+Datos!Z19-(Datos!T19+Datos!AH19))/(Datos!T19+Datos!AH19))
     ),IF(J_V="SI",(Datos!J19-Datos!T19)/Datos!T19,(Datos!J19+Datos!Z19-(Datos!T19+Datos!AH19))/(Datos!T19+Datos!AH19))," - ")</f>
        <v>-5.4474708171206226E-2</v>
      </c>
      <c r="F19" s="363">
        <f>IF(ISNUMBER(
   IF(J_V="SI",(Datos!K19-Datos!U19)/Datos!U19,(Datos!K19+Datos!AA19-(Datos!U19+Datos!AI19))/(Datos!U19+Datos!AI19))
     ),IF(J_V="SI",(Datos!K19-Datos!U19)/Datos!U19,(Datos!K19+Datos!AA19-(Datos!U19+Datos!AI19))/(Datos!U19+Datos!AI19))," - ")</f>
        <v>1.6528925619834711E-2</v>
      </c>
      <c r="G19" s="364">
        <f>IF(ISNUMBER(
   IF(J_V="SI",(Datos!L19-Datos!V19)/Datos!V19,(Datos!L19+Datos!AB19-(Datos!V19+Datos!AJ19))/(Datos!V19+Datos!AJ19))
     ),IF(J_V="SI",(Datos!L19-Datos!V19)/Datos!V19,(Datos!L19+Datos!AB19-(Datos!V19+Datos!AJ19))/(Datos!V19+Datos!AJ19))," - ")</f>
        <v>0.17886178861788618</v>
      </c>
      <c r="H19" s="365">
        <f>IF(ISNUMBER((Datos!M19-Datos!W19)/Datos!W19),(Datos!M19-Datos!W19)/Datos!W19," - ")</f>
        <v>0.42857142857142855</v>
      </c>
      <c r="I19" s="362">
        <f>IF(ISNUMBER((Tasas!C19-Datos!BE19)/Datos!BE19),(Tasas!C19-Datos!BE19)/Datos!BE19," - ")</f>
        <v>0.15969330425011574</v>
      </c>
      <c r="J19" s="363">
        <f>IF(ISNUMBER((Tasas!D19-Datos!BF19)/Datos!BF19),(Tasas!D19-Datos!BF19)/Datos!BF19," - ")</f>
        <v>-0.42132950741272118</v>
      </c>
      <c r="K19" s="364">
        <f>IF(ISNUMBER((Tasas!E19-Datos!BG19)/Datos!BG19),(Tasas!E19-Datos!BG19)/Datos!BG19," - ")</f>
        <v>0.11803326914848097</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1.3085144124464321</v>
      </c>
      <c r="E21" s="278">
        <f t="shared" si="1"/>
        <v>0.30071218735536981</v>
      </c>
      <c r="F21" s="278">
        <f t="shared" si="1"/>
        <v>0.51058421376681673</v>
      </c>
      <c r="G21" s="279">
        <f t="shared" si="1"/>
        <v>0.63974570807232523</v>
      </c>
      <c r="H21" s="285">
        <f t="shared" si="1"/>
        <v>0.32716515254078793</v>
      </c>
      <c r="I21" s="277">
        <f t="shared" si="1"/>
        <v>7.2170268034128723E-2</v>
      </c>
      <c r="J21" s="278">
        <f t="shared" si="1"/>
        <v>1.0132933827081008</v>
      </c>
      <c r="K21" s="279">
        <f t="shared" si="1"/>
        <v>2.5814499436466132E-2</v>
      </c>
    </row>
    <row r="22" spans="2:20" ht="13.5" thickTop="1">
      <c r="C22" s="1306"/>
      <c r="D22" s="1306"/>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may.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VLTQSx/CbgXgqfHa3AChwbST8BL14iThuXcA067osaMsieykgbwHS+1NbeV4BnqFslQ866pxZScu/Ead5bNNrA==" saltValue="20rFiaLWlaJZt3iPZpY2GA=="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AE39"/>
  <sheetViews>
    <sheetView zoomScale="82" zoomScaleNormal="82" workbookViewId="0">
      <selection activeCell="O75" sqref="O75:W75"/>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16384" width="11.42578125" style="1026"/>
  </cols>
  <sheetData>
    <row r="1" spans="1:31" ht="108" customHeight="1">
      <c r="A1" s="1026"/>
    </row>
    <row r="2" spans="1:31">
      <c r="B2" s="494"/>
      <c r="E2" s="1028"/>
    </row>
    <row r="3" spans="1:31" s="471" customFormat="1" ht="13.5" thickBot="1">
      <c r="A3" s="487"/>
      <c r="B3" s="488" t="s">
        <v>355</v>
      </c>
      <c r="E3" s="494"/>
    </row>
    <row r="4" spans="1:31" s="471" customFormat="1" ht="15.75" thickBot="1">
      <c r="A4" s="1085" t="s">
        <v>360</v>
      </c>
      <c r="B4" s="1096" t="str">
        <f>Criterios!B9</f>
        <v>ASTURIAS</v>
      </c>
      <c r="C4" s="1086"/>
      <c r="D4" s="1086"/>
      <c r="E4" s="1087"/>
      <c r="F4" s="1086"/>
      <c r="G4" s="543"/>
      <c r="H4" s="1336" t="s">
        <v>361</v>
      </c>
      <c r="I4" s="1337"/>
      <c r="J4" s="1337"/>
      <c r="K4" s="1337"/>
      <c r="L4" s="1337"/>
      <c r="M4" s="1088"/>
      <c r="N4" s="1336" t="s">
        <v>362</v>
      </c>
      <c r="O4" s="1337"/>
      <c r="P4" s="1337"/>
      <c r="Q4" s="1337"/>
      <c r="R4" s="1337"/>
      <c r="S4" s="1337"/>
      <c r="T4" s="1337"/>
      <c r="U4" s="1337"/>
      <c r="V4" s="1337"/>
      <c r="W4" s="1337"/>
      <c r="X4" s="1337"/>
      <c r="Y4" s="1337"/>
      <c r="Z4" s="1337"/>
      <c r="AA4" s="1337"/>
      <c r="AB4" s="1337"/>
      <c r="AC4" s="1337"/>
      <c r="AD4" s="1338"/>
    </row>
    <row r="5" spans="1:31" s="471" customFormat="1" ht="15.75" customHeight="1">
      <c r="A5" s="1344" t="s">
        <v>351</v>
      </c>
      <c r="B5" s="1346" t="str">
        <f>"Año:  " &amp;Criterios!B5 &amp; "      Trimestre   " &amp;Criterios!D5 &amp; " al " &amp;Criterios!D6</f>
        <v>Año:  2024      Trimestre   1 al 1</v>
      </c>
      <c r="C5" s="1350" t="s">
        <v>261</v>
      </c>
      <c r="D5" s="1352" t="s">
        <v>128</v>
      </c>
      <c r="E5" s="1352" t="s">
        <v>92</v>
      </c>
      <c r="F5" s="1354" t="s">
        <v>9</v>
      </c>
      <c r="G5" s="1342"/>
      <c r="H5" s="1339" t="s">
        <v>356</v>
      </c>
      <c r="I5" s="1356" t="s">
        <v>358</v>
      </c>
      <c r="J5" s="1339" t="s">
        <v>357</v>
      </c>
      <c r="K5" s="1341" t="s">
        <v>302</v>
      </c>
      <c r="L5" s="1341" t="s">
        <v>359</v>
      </c>
      <c r="M5" s="1341" t="s">
        <v>353</v>
      </c>
      <c r="N5" s="1326"/>
      <c r="O5" s="1327"/>
      <c r="Q5" s="1330" t="s">
        <v>452</v>
      </c>
      <c r="R5" s="1331"/>
      <c r="S5" s="1332"/>
      <c r="T5" s="1330"/>
      <c r="U5" s="1331"/>
      <c r="V5" s="1332"/>
      <c r="W5" s="1330" t="s">
        <v>272</v>
      </c>
      <c r="X5" s="1331"/>
      <c r="Y5" s="1331"/>
      <c r="Z5" s="1332"/>
      <c r="AA5" s="1330" t="s">
        <v>447</v>
      </c>
      <c r="AB5" s="1331"/>
      <c r="AC5" s="1331"/>
      <c r="AD5" s="1332"/>
    </row>
    <row r="6" spans="1:31" s="471" customFormat="1" ht="21.75" customHeight="1" thickBot="1">
      <c r="A6" s="1345"/>
      <c r="B6" s="1347"/>
      <c r="C6" s="1351"/>
      <c r="D6" s="1353"/>
      <c r="E6" s="1353"/>
      <c r="F6" s="1355"/>
      <c r="G6" s="1342"/>
      <c r="H6" s="1340"/>
      <c r="I6" s="1357"/>
      <c r="J6" s="1340"/>
      <c r="K6" s="1342"/>
      <c r="L6" s="1342"/>
      <c r="M6" s="1342"/>
      <c r="N6" s="1328"/>
      <c r="O6" s="1329"/>
      <c r="P6" s="1089"/>
      <c r="Q6" s="1333"/>
      <c r="R6" s="1334"/>
      <c r="S6" s="1335"/>
      <c r="T6" s="1333"/>
      <c r="U6" s="1334"/>
      <c r="V6" s="1335"/>
      <c r="W6" s="1333"/>
      <c r="X6" s="1334"/>
      <c r="Y6" s="1334"/>
      <c r="Z6" s="1335"/>
      <c r="AA6" s="1333"/>
      <c r="AB6" s="1334"/>
      <c r="AC6" s="1334"/>
      <c r="AD6" s="1335"/>
    </row>
    <row r="7" spans="1:31" s="471" customFormat="1" ht="84" customHeight="1">
      <c r="A7" s="1345"/>
      <c r="B7" s="1090" t="str">
        <f>Datos!A7</f>
        <v>COMPETENCIAS</v>
      </c>
      <c r="C7" s="1351"/>
      <c r="D7" s="1353"/>
      <c r="E7" s="1353"/>
      <c r="F7" s="1355"/>
      <c r="G7" s="1342"/>
      <c r="H7" s="1340"/>
      <c r="I7" s="1357"/>
      <c r="J7" s="1340"/>
      <c r="K7" s="1342"/>
      <c r="L7" s="1342"/>
      <c r="M7" s="1343"/>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31" ht="15">
      <c r="A8" s="1348" t="str">
        <f>Datos!A8</f>
        <v>Jurisdicción Civil ( 1 ):</v>
      </c>
      <c r="B8" s="1349"/>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31"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row>
    <row r="10" spans="1:31" ht="15">
      <c r="A10" s="1043">
        <f>ABS(Datos!AO10)</f>
        <v>1</v>
      </c>
      <c r="B10" s="502" t="str">
        <f>Datos!A10</f>
        <v>Jdos. Violencia contra la mujer</v>
      </c>
      <c r="C10" s="225">
        <f t="shared" si="0"/>
        <v>2</v>
      </c>
      <c r="D10" s="225">
        <f>IF(ISNUMBER(Datos!I10),Datos!I10," - ")</f>
        <v>2</v>
      </c>
      <c r="E10" s="226">
        <f>IF(ISNUMBER(Datos!J10),Datos!J10," - ")</f>
        <v>1</v>
      </c>
      <c r="F10" s="226">
        <f>IF(ISNUMBER(Datos!K10),Datos!K10," - ")</f>
        <v>2</v>
      </c>
      <c r="G10" s="1034" t="str">
        <f>IF(Datos!E10&lt;&gt;"",Datos!E10,Datos!D10)</f>
        <v>37</v>
      </c>
      <c r="H10" s="227">
        <f>IF(ISNUMBER(Datos!L10),Datos!L10," - ")</f>
        <v>1</v>
      </c>
      <c r="I10" s="1044" t="str">
        <f>IF(ISNUMBER(Datos!AS10/Datos!BM10),Datos!AS10/Datos!BM10," - ")</f>
        <v xml:space="preserve"> - </v>
      </c>
      <c r="J10" s="1045">
        <f>IF(ISNUMBER(Datos!BY10/Datos!CN10),Datos!BY10/Datos!CN10," - ")</f>
        <v>0</v>
      </c>
      <c r="K10" s="230">
        <f t="shared" ref="K10:K12" si="1">IF(ISNUMBER((E10-F10)/C10),(E10-F10)/C10," - ")</f>
        <v>-0.5</v>
      </c>
      <c r="L10" s="1025">
        <f>IF(ISNUMBER(NºAsuntos!I10/NºAsuntos!G10),(NºAsuntos!I10/NºAsuntos!G10)*11," - ")</f>
        <v>5.5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row>
    <row r="11" spans="1:31"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row>
    <row r="12" spans="1:31"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row>
    <row r="13" spans="1:31" ht="15">
      <c r="A13" s="1048"/>
      <c r="B13" s="1097" t="str">
        <f>Datos!A13</f>
        <v>TOTAL</v>
      </c>
      <c r="C13" s="1049">
        <f>SUBTOTAL(9,C9:C12)</f>
        <v>2</v>
      </c>
      <c r="D13" s="1049">
        <f>SUBTOTAL(9,D9:D12)</f>
        <v>2</v>
      </c>
      <c r="E13" s="1050">
        <f>SUBTOTAL(9,E9:E12)</f>
        <v>1</v>
      </c>
      <c r="F13" s="1051">
        <f>SUBTOTAL(9,F9:F12)</f>
        <v>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row>
    <row r="14" spans="1:31" ht="15">
      <c r="A14" s="1348" t="str">
        <f>Datos!A14</f>
        <v xml:space="preserve">Jurisdicción Penal ( 2 ):                      </v>
      </c>
      <c r="B14" s="1349"/>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row>
    <row r="15" spans="1:31"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row>
    <row r="16" spans="1:31" ht="15">
      <c r="A16" s="1043">
        <f>ABS(Datos!AO16)</f>
        <v>1</v>
      </c>
      <c r="B16" s="502" t="str">
        <f>Datos!A16</f>
        <v xml:space="preserve">Jdos. 1ª Instª. e Instr.                        </v>
      </c>
      <c r="C16" s="225">
        <f t="shared" si="2"/>
        <v>113</v>
      </c>
      <c r="D16" s="225">
        <f>IF(ISNUMBER(IF(D_I="SI",Datos!I16,Datos!I16+Datos!AC16)),IF(D_I="SI",Datos!I16,Datos!I16+Datos!AC16)," - ")</f>
        <v>129</v>
      </c>
      <c r="E16" s="226">
        <f>IF(ISNUMBER(IF(D_I="SI",Datos!J16,Datos!J16+Datos!AD16)),IF(D_I="SI",Datos!J16,Datos!J16+Datos!AD16)," - ")</f>
        <v>136</v>
      </c>
      <c r="F16" s="226">
        <f>IF(ISNUMBER(IF(D_I="SI",Datos!K16,Datos!K16+Datos!AE16)),IF(D_I="SI",Datos!K16,Datos!K16+Datos!AE16)," - ")</f>
        <v>140</v>
      </c>
      <c r="G16" s="1034" t="str">
        <f>IF(Datos!E16&lt;&gt;"",Datos!E16,Datos!D16)</f>
        <v>04</v>
      </c>
      <c r="H16" s="227">
        <f>IF(ISNUMBER(IF(D_I="SI",Datos!L16,Datos!L16+Datos!AF16)),IF(D_I="SI",Datos!L16,Datos!L16+Datos!AF16)," - ")</f>
        <v>109</v>
      </c>
      <c r="I16" s="1044" t="str">
        <f>IF(ISNUMBER(Datos!AS16/Datos!BM16),Datos!AS16/Datos!BM16," - ")</f>
        <v xml:space="preserve"> - </v>
      </c>
      <c r="J16" s="1045">
        <f>IF(ISNUMBER(Datos!BY16/Datos!CN16),Datos!BY16/Datos!CN16," - ")</f>
        <v>0</v>
      </c>
      <c r="K16" s="230">
        <f t="shared" si="3"/>
        <v>-3.5398230088495575E-2</v>
      </c>
      <c r="L16" s="1025">
        <f>IF(ISNUMBER(NºAsuntos!I16/NºAsuntos!G16),(NºAsuntos!I16/NºAsuntos!G16)*11," - ")</f>
        <v>8.5642857142857149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row>
    <row r="17" spans="1:31" ht="15">
      <c r="A17" s="1043">
        <f>ABS(Datos!AO17)</f>
        <v>1</v>
      </c>
      <c r="B17" s="502" t="str">
        <f>Datos!A17</f>
        <v>Jdos. Violencia contra la mujer</v>
      </c>
      <c r="C17" s="225">
        <f t="shared" si="2"/>
        <v>10</v>
      </c>
      <c r="D17" s="225">
        <f>IF(ISNUMBER(IF(D_I="SI",Datos!I17,Datos!I17+Datos!AC17)),IF(D_I="SI",Datos!I17,Datos!I17+Datos!AC17)," - ")</f>
        <v>10</v>
      </c>
      <c r="E17" s="226">
        <f>IF(ISNUMBER(IF(D_I="SI",Datos!J17,Datos!J17+Datos!AD17)),IF(D_I="SI",Datos!J17,Datos!J17+Datos!AD17)," - ")</f>
        <v>3</v>
      </c>
      <c r="F17" s="226">
        <f>IF(ISNUMBER(IF(D_I="SI",Datos!K17,Datos!K17+Datos!AE17)),IF(D_I="SI",Datos!K17,Datos!K17+Datos!AE17)," - ")</f>
        <v>0</v>
      </c>
      <c r="G17" s="1034" t="str">
        <f>IF(Datos!E17&lt;&gt;"",Datos!E17,Datos!D17)</f>
        <v>37</v>
      </c>
      <c r="H17" s="227">
        <f>IF(ISNUMBER(IF(D_I="SI",Datos!L17,Datos!L17+Datos!AF17)),IF(D_I="SI",Datos!L17,Datos!L17+Datos!AF17)," - ")</f>
        <v>13</v>
      </c>
      <c r="I17" s="1044" t="str">
        <f>IF(ISNUMBER(Datos!AS17/Datos!BM17),Datos!AS17/Datos!BM17," - ")</f>
        <v xml:space="preserve"> - </v>
      </c>
      <c r="J17" s="1045" t="str">
        <f>IF(ISNUMBER((Datos!BY17+Datos!BZ17)/Datos!CN17),(Datos!BY17+Datos!BZ17)/Datos!CN17," - ")</f>
        <v xml:space="preserve"> - </v>
      </c>
      <c r="K17" s="230">
        <f t="shared" si="3"/>
        <v>0.3</v>
      </c>
      <c r="L17" s="1025" t="str">
        <f>IF(ISNUMBER(NºAsuntos!I17/NºAsuntos!G17),(NºAsuntos!I17/NºAsuntos!G17)*11," - ")</f>
        <v xml:space="preserve"> - </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row>
    <row r="18" spans="1:31" ht="15.75" thickBot="1">
      <c r="A18" s="1048"/>
      <c r="B18" s="1097" t="str">
        <f>Datos!A18</f>
        <v>TOTAL</v>
      </c>
      <c r="C18" s="1049">
        <f>SUBTOTAL(9,C15:C17)</f>
        <v>123</v>
      </c>
      <c r="D18" s="1049">
        <f>SUBTOTAL(9,D15:D17)</f>
        <v>139</v>
      </c>
      <c r="E18" s="1050">
        <f>SUBTOTAL(9,E15:E17)</f>
        <v>139</v>
      </c>
      <c r="F18" s="1050">
        <f>SUBTOTAL(9,F15:F17)</f>
        <v>140</v>
      </c>
      <c r="G18" s="1052" t="str">
        <f ca="1">INDIRECT(CONCATENATE("G",ROW()-1))</f>
        <v>37</v>
      </c>
      <c r="H18" s="1053">
        <f ca="1">SUMIF(G$14:G17,G18,H$14:H17)</f>
        <v>13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row>
    <row r="19" spans="1:31" ht="18.75" customHeight="1" thickTop="1" thickBot="1">
      <c r="A19" s="1070"/>
      <c r="B19" s="1098" t="str">
        <f>Datos!A19</f>
        <v>TOTAL JURISDICCIONES</v>
      </c>
      <c r="C19" s="1071">
        <f>SUBTOTAL(9,C9:C18)</f>
        <v>125</v>
      </c>
      <c r="D19" s="1071">
        <f>SUBTOTAL(9,D9:D18)</f>
        <v>141</v>
      </c>
      <c r="E19" s="1072">
        <f>SUBTOTAL(9,E9:E18)</f>
        <v>140</v>
      </c>
      <c r="F19" s="1072">
        <f>SUBTOTAL(9,F9:F18)</f>
        <v>142</v>
      </c>
      <c r="G19" s="1073"/>
      <c r="H19" s="1074">
        <f ca="1">SUMIF(B9:B18,"TOTAL",H9:H18)</f>
        <v>13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31" ht="12" customHeight="1" thickTop="1">
      <c r="B20" s="73"/>
    </row>
    <row r="21" spans="1:31" ht="12.75" customHeight="1">
      <c r="B21" s="1099"/>
      <c r="C21" s="1029"/>
      <c r="D21" s="1029"/>
      <c r="E21" s="1030"/>
      <c r="F21" s="1029"/>
      <c r="G21" s="1029"/>
      <c r="H21" s="1029"/>
      <c r="I21" s="1029"/>
      <c r="J21" s="1029"/>
      <c r="K21" s="1030"/>
      <c r="L21" s="1030"/>
      <c r="M21" s="1030"/>
      <c r="N21" s="1030"/>
      <c r="O21" s="1030"/>
      <c r="P21" s="1030"/>
      <c r="Q21" s="1030"/>
    </row>
    <row r="22" spans="1:31" ht="12.75" customHeight="1">
      <c r="B22" s="471" t="str">
        <f>Criterios!A4</f>
        <v>Fecha Informe: 29 may. 2024</v>
      </c>
      <c r="C22" s="1029"/>
      <c r="D22" s="1029"/>
      <c r="E22" s="1030"/>
      <c r="F22" s="1029"/>
      <c r="G22" s="1029"/>
      <c r="H22" s="1029"/>
      <c r="I22" s="1029"/>
      <c r="J22" s="1029"/>
      <c r="K22" s="1030"/>
      <c r="L22" s="1030"/>
      <c r="M22" s="1030"/>
      <c r="N22" s="1030"/>
      <c r="O22" s="1030"/>
      <c r="P22" s="1030"/>
      <c r="Q22" s="1030"/>
    </row>
    <row r="23" spans="1:31" ht="12.75" customHeight="1">
      <c r="B23" s="1099"/>
      <c r="C23" s="1029"/>
      <c r="D23" s="1029"/>
      <c r="E23" s="1029"/>
      <c r="F23" s="1029"/>
      <c r="G23" s="1029"/>
      <c r="H23" s="1029"/>
      <c r="I23" s="1029"/>
      <c r="J23" s="1029"/>
      <c r="K23" s="1029"/>
      <c r="L23" s="1029"/>
      <c r="M23" s="1029"/>
      <c r="N23" s="1029"/>
      <c r="O23" s="1029"/>
      <c r="P23" s="1029"/>
      <c r="Q23" s="1029"/>
    </row>
    <row r="24" spans="1:31" ht="12.75" customHeight="1">
      <c r="B24" s="1099"/>
      <c r="C24" s="1029"/>
      <c r="D24" s="1029"/>
      <c r="E24" s="1029"/>
      <c r="F24" s="1029"/>
      <c r="G24" s="1029"/>
      <c r="H24" s="1029"/>
      <c r="I24" s="1029"/>
      <c r="J24" s="1029"/>
      <c r="K24" s="1029"/>
      <c r="L24" s="1029"/>
      <c r="M24" s="1029"/>
      <c r="N24" s="1029"/>
      <c r="O24" s="1029"/>
      <c r="P24" s="1029"/>
      <c r="Q24" s="1029"/>
    </row>
    <row r="25" spans="1:31">
      <c r="B25" s="527"/>
      <c r="N25" s="1325" t="s">
        <v>635</v>
      </c>
      <c r="O25" s="1325"/>
      <c r="P25" s="1325"/>
      <c r="Q25" s="1325"/>
      <c r="R25" s="1325"/>
      <c r="S25" s="1325"/>
      <c r="T25" s="1325"/>
      <c r="U25" s="1325"/>
      <c r="V25" s="1325"/>
      <c r="W25" s="1325"/>
      <c r="Y25" s="1325" t="s">
        <v>636</v>
      </c>
      <c r="Z25" s="1325"/>
      <c r="AA25" s="1325"/>
      <c r="AB25" s="1325"/>
      <c r="AC25" s="1325"/>
      <c r="AD25" s="1325"/>
    </row>
    <row r="27" spans="1:31">
      <c r="N27" s="1031" t="s">
        <v>637</v>
      </c>
      <c r="O27" s="1321" t="s">
        <v>638</v>
      </c>
      <c r="P27" s="1321"/>
      <c r="Q27" s="1321"/>
      <c r="R27" s="1321"/>
      <c r="S27" s="1321"/>
      <c r="T27" s="1321"/>
      <c r="U27" s="1321"/>
      <c r="V27" s="1321"/>
      <c r="W27" s="1321"/>
      <c r="Y27" s="1031" t="s">
        <v>637</v>
      </c>
      <c r="Z27" s="1323" t="s">
        <v>639</v>
      </c>
      <c r="AA27" s="1323"/>
      <c r="AB27" s="1323"/>
      <c r="AC27" s="1323"/>
      <c r="AD27" s="1323"/>
    </row>
    <row r="28" spans="1:31">
      <c r="N28" s="1031" t="s">
        <v>640</v>
      </c>
      <c r="O28" s="1321" t="s">
        <v>641</v>
      </c>
      <c r="P28" s="1321"/>
      <c r="Q28" s="1321"/>
      <c r="R28" s="1321"/>
      <c r="S28" s="1321"/>
      <c r="T28" s="1321"/>
      <c r="U28" s="1321"/>
      <c r="V28" s="1321"/>
      <c r="W28" s="1321"/>
      <c r="Y28" s="1031" t="s">
        <v>640</v>
      </c>
      <c r="Z28" s="1323" t="s">
        <v>642</v>
      </c>
      <c r="AA28" s="1323"/>
      <c r="AB28" s="1323"/>
      <c r="AC28" s="1323"/>
      <c r="AD28" s="1323"/>
    </row>
    <row r="29" spans="1:31">
      <c r="N29" s="1031" t="s">
        <v>643</v>
      </c>
      <c r="O29" s="1321" t="s">
        <v>644</v>
      </c>
      <c r="P29" s="1321"/>
      <c r="Q29" s="1321"/>
      <c r="R29" s="1321"/>
      <c r="S29" s="1321"/>
      <c r="T29" s="1321"/>
      <c r="U29" s="1321"/>
      <c r="V29" s="1321"/>
      <c r="W29" s="1321"/>
      <c r="Y29" s="1031" t="s">
        <v>645</v>
      </c>
      <c r="Z29" s="1323" t="s">
        <v>880</v>
      </c>
      <c r="AA29" s="1323"/>
      <c r="AB29" s="1323"/>
      <c r="AC29" s="1323"/>
      <c r="AD29" s="1323"/>
    </row>
    <row r="30" spans="1:31">
      <c r="N30" s="1031" t="s">
        <v>646</v>
      </c>
      <c r="O30" s="1321" t="s">
        <v>647</v>
      </c>
      <c r="P30" s="1321"/>
      <c r="Q30" s="1321"/>
      <c r="R30" s="1321"/>
      <c r="S30" s="1321"/>
      <c r="T30" s="1321"/>
      <c r="U30" s="1321"/>
      <c r="V30" s="1321"/>
      <c r="W30" s="1321"/>
      <c r="Y30" s="1031" t="s">
        <v>648</v>
      </c>
      <c r="Z30" s="1323" t="s">
        <v>881</v>
      </c>
      <c r="AA30" s="1323"/>
      <c r="AB30" s="1323"/>
      <c r="AC30" s="1323"/>
      <c r="AD30" s="1323"/>
    </row>
    <row r="31" spans="1:31">
      <c r="N31" s="1031" t="s">
        <v>731</v>
      </c>
      <c r="O31" s="1321" t="s">
        <v>732</v>
      </c>
      <c r="P31" s="1321"/>
      <c r="Q31" s="1321"/>
      <c r="R31" s="1321"/>
      <c r="S31" s="1321"/>
      <c r="T31" s="1321"/>
      <c r="U31" s="1321"/>
      <c r="V31" s="1321"/>
      <c r="W31" s="1321"/>
      <c r="Y31" s="1031" t="s">
        <v>643</v>
      </c>
      <c r="Z31" s="1323" t="s">
        <v>644</v>
      </c>
      <c r="AA31" s="1323"/>
      <c r="AB31" s="1323"/>
      <c r="AC31" s="1323"/>
      <c r="AD31" s="1323"/>
    </row>
    <row r="32" spans="1:31">
      <c r="N32" s="1031" t="s">
        <v>649</v>
      </c>
      <c r="O32" s="1321" t="s">
        <v>650</v>
      </c>
      <c r="P32" s="1321"/>
      <c r="Q32" s="1321"/>
      <c r="R32" s="1321"/>
      <c r="S32" s="1321"/>
      <c r="T32" s="1321"/>
      <c r="U32" s="1321"/>
      <c r="V32" s="1321"/>
      <c r="W32" s="1321"/>
      <c r="Y32" s="1031" t="s">
        <v>646</v>
      </c>
      <c r="Z32" s="1323" t="s">
        <v>647</v>
      </c>
      <c r="AA32" s="1323"/>
      <c r="AB32" s="1323"/>
      <c r="AC32" s="1323"/>
      <c r="AD32" s="1323"/>
    </row>
    <row r="33" spans="14:30">
      <c r="N33" s="1031" t="s">
        <v>651</v>
      </c>
      <c r="O33" s="1321" t="s">
        <v>652</v>
      </c>
      <c r="P33" s="1321"/>
      <c r="Q33" s="1321"/>
      <c r="R33" s="1321"/>
      <c r="S33" s="1321"/>
      <c r="T33" s="1321"/>
      <c r="U33" s="1321"/>
      <c r="V33" s="1321"/>
      <c r="W33" s="1321"/>
      <c r="Y33" s="1031" t="s">
        <v>653</v>
      </c>
      <c r="Z33" s="1323" t="s">
        <v>654</v>
      </c>
      <c r="AA33" s="1323"/>
      <c r="AB33" s="1323"/>
      <c r="AC33" s="1323"/>
      <c r="AD33" s="1323"/>
    </row>
    <row r="34" spans="14:30">
      <c r="N34" s="1031" t="s">
        <v>645</v>
      </c>
      <c r="O34" s="1321" t="s">
        <v>878</v>
      </c>
      <c r="P34" s="1321"/>
      <c r="Q34" s="1321"/>
      <c r="R34" s="1321"/>
      <c r="S34" s="1321"/>
      <c r="T34" s="1321"/>
      <c r="U34" s="1321"/>
      <c r="V34" s="1321"/>
      <c r="W34" s="1321"/>
      <c r="Y34" s="1031" t="s">
        <v>655</v>
      </c>
      <c r="Z34" s="1323" t="s">
        <v>656</v>
      </c>
      <c r="AA34" s="1323"/>
      <c r="AB34" s="1323"/>
      <c r="AC34" s="1323"/>
      <c r="AD34" s="1323"/>
    </row>
    <row r="35" spans="14:30">
      <c r="N35" s="1031" t="s">
        <v>648</v>
      </c>
      <c r="O35" s="1321" t="s">
        <v>879</v>
      </c>
      <c r="P35" s="1321"/>
      <c r="Q35" s="1321"/>
      <c r="R35" s="1321"/>
      <c r="S35" s="1321"/>
      <c r="T35" s="1321"/>
      <c r="U35" s="1321"/>
      <c r="V35" s="1321"/>
      <c r="W35" s="1321"/>
      <c r="Y35" s="1031" t="s">
        <v>658</v>
      </c>
      <c r="Z35" s="1323" t="s">
        <v>659</v>
      </c>
      <c r="AA35" s="1323"/>
      <c r="AB35" s="1323"/>
      <c r="AC35" s="1323"/>
      <c r="AD35" s="1323"/>
    </row>
    <row r="36" spans="14:30">
      <c r="N36" s="1031" t="s">
        <v>653</v>
      </c>
      <c r="O36" s="1321" t="s">
        <v>657</v>
      </c>
      <c r="P36" s="1321"/>
      <c r="Q36" s="1321"/>
      <c r="R36" s="1321"/>
      <c r="S36" s="1321"/>
      <c r="T36" s="1321"/>
      <c r="U36" s="1321"/>
      <c r="V36" s="1321"/>
      <c r="W36" s="1321"/>
      <c r="Y36" s="1031" t="s">
        <v>649</v>
      </c>
      <c r="Z36" s="1323" t="s">
        <v>650</v>
      </c>
      <c r="AA36" s="1323"/>
      <c r="AB36" s="1323"/>
      <c r="AC36" s="1323"/>
      <c r="AD36" s="1323"/>
    </row>
    <row r="37" spans="14:30">
      <c r="N37" s="1031" t="s">
        <v>660</v>
      </c>
      <c r="O37" s="1321" t="s">
        <v>661</v>
      </c>
      <c r="P37" s="1321"/>
      <c r="Q37" s="1321"/>
      <c r="R37" s="1321"/>
      <c r="S37" s="1321"/>
      <c r="T37" s="1321"/>
      <c r="U37" s="1321"/>
      <c r="V37" s="1321"/>
      <c r="W37" s="1321"/>
      <c r="Y37" s="1032" t="s">
        <v>651</v>
      </c>
      <c r="Z37" s="1324" t="s">
        <v>652</v>
      </c>
      <c r="AA37" s="1324"/>
      <c r="AB37" s="1324"/>
      <c r="AC37" s="1324"/>
      <c r="AD37" s="1324"/>
    </row>
    <row r="38" spans="14:30">
      <c r="N38" s="1031" t="s">
        <v>655</v>
      </c>
      <c r="O38" s="1321" t="s">
        <v>662</v>
      </c>
      <c r="P38" s="1321"/>
      <c r="Q38" s="1321"/>
      <c r="R38" s="1321"/>
      <c r="S38" s="1321"/>
      <c r="T38" s="1321"/>
      <c r="U38" s="1321"/>
      <c r="V38" s="1321"/>
      <c r="W38" s="1321"/>
    </row>
    <row r="39" spans="14:30">
      <c r="N39" s="1032" t="s">
        <v>658</v>
      </c>
      <c r="O39" s="1322" t="s">
        <v>663</v>
      </c>
      <c r="P39" s="1322"/>
      <c r="Q39" s="1322"/>
      <c r="R39" s="1322"/>
      <c r="S39" s="1322"/>
      <c r="T39" s="1322"/>
      <c r="U39" s="1322"/>
      <c r="V39" s="1322"/>
      <c r="W39" s="1322"/>
    </row>
  </sheetData>
  <sheetProtection algorithmName="SHA-512" hashValue="i8pBPrtyRpFV8/PPNpCTeluJqJ+jw/oKe34iPM1pde0XgKvnBz6N6IyEstFSspZuUzRpbr0ww0rzgu64uX+gYw==" saltValue="xtHVU4B22KjJIXEhmd6/ww==" spinCount="100000" sheet="1" objects="1" scenarios="1"/>
  <mergeCells count="48">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3:W33"/>
    <mergeCell ref="O34:W34"/>
    <mergeCell ref="O35:W35"/>
    <mergeCell ref="Z33:AD33"/>
    <mergeCell ref="Z34:AD34"/>
    <mergeCell ref="Z35:AD35"/>
    <mergeCell ref="O36:W36"/>
    <mergeCell ref="O37:W37"/>
    <mergeCell ref="O38:W38"/>
    <mergeCell ref="O39:W39"/>
    <mergeCell ref="Z36:AD36"/>
    <mergeCell ref="Z37:AD37"/>
  </mergeCells>
  <phoneticPr fontId="0" type="noConversion"/>
  <conditionalFormatting sqref="C15:C17 C10:C12">
    <cfRule type="cellIs" dxfId="584" priority="111" stopIfTrue="1" operator="notBetween">
      <formula>$C$23</formula>
      <formula>$C$24</formula>
    </cfRule>
  </conditionalFormatting>
  <conditionalFormatting sqref="D10:D12 D15:D17">
    <cfRule type="cellIs" dxfId="583" priority="92" stopIfTrue="1" operator="between">
      <formula>$D$23</formula>
      <formula>$D$24</formula>
    </cfRule>
  </conditionalFormatting>
  <conditionalFormatting sqref="E15:E17 E9:E12">
    <cfRule type="cellIs" dxfId="582" priority="99" stopIfTrue="1" operator="notBetween">
      <formula>$E$23</formula>
      <formula>$E$24</formula>
    </cfRule>
  </conditionalFormatting>
  <conditionalFormatting sqref="F15:F17 F9:F12">
    <cfRule type="cellIs" dxfId="581"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lfWAQ7jqo2AUdjqkP/Cbo7kt8C+FdM+VJo/wMA1kU6dGt+NtHZAQV3okbosb22/H2bDF52raMsLcBQ9GrAqndA==" saltValue="pjSlWUrUm8Ky5ntWLuGtN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Y27"/>
  <sheetViews>
    <sheetView zoomScale="80" zoomScaleNormal="80" workbookViewId="0">
      <pane xSplit="1" topLeftCell="B1" activePane="topRight" state="frozen"/>
      <selection pane="topRight" activeCell="Y10" sqref="Y1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5"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5">
      <c r="A2" s="95">
        <f>Criterios!C8</f>
        <v>0</v>
      </c>
      <c r="B2">
        <f>Criterios!B8</f>
        <v>0</v>
      </c>
    </row>
    <row r="3" spans="1:155" ht="13.5" thickBot="1">
      <c r="A3" t="str">
        <f>Criterios!A9</f>
        <v>Tribunales de Justicia</v>
      </c>
      <c r="B3" t="str">
        <f>Criterios!B9</f>
        <v>ASTURIAS</v>
      </c>
    </row>
    <row r="4" spans="1:155" ht="13.5" thickBot="1">
      <c r="A4" t="str">
        <f>Criterios!A10</f>
        <v>Provincias</v>
      </c>
      <c r="B4" t="str">
        <f>Criterios!B10</f>
        <v>ASTURIAS</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317</v>
      </c>
      <c r="BN5" s="1245"/>
      <c r="BO5" s="1246"/>
      <c r="BP5" s="1245"/>
      <c r="BQ5" s="1246"/>
      <c r="BR5" s="1245"/>
      <c r="BS5" s="1246"/>
      <c r="BT5" s="1245"/>
      <c r="BU5" s="1246"/>
      <c r="BV5" s="1412" t="s">
        <v>272</v>
      </c>
      <c r="BW5" s="1418" t="s">
        <v>252</v>
      </c>
      <c r="BX5" s="1418"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425</v>
      </c>
      <c r="CL5" s="1382" t="s">
        <v>426</v>
      </c>
      <c r="CM5" s="1382" t="s">
        <v>443</v>
      </c>
      <c r="CN5" s="1463" t="s">
        <v>370</v>
      </c>
      <c r="CO5" s="1463" t="s">
        <v>363</v>
      </c>
      <c r="CP5" s="1463" t="s">
        <v>369</v>
      </c>
      <c r="CQ5" s="1478" t="s">
        <v>368</v>
      </c>
      <c r="CR5" s="1478" t="s">
        <v>368</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480</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589</v>
      </c>
      <c r="ED5" s="1389" t="s">
        <v>590</v>
      </c>
      <c r="EE5" s="1389" t="s">
        <v>623</v>
      </c>
      <c r="EF5" s="1389" t="s">
        <v>627</v>
      </c>
      <c r="EG5" s="1358" t="s">
        <v>625</v>
      </c>
      <c r="EH5" s="1358" t="s">
        <v>626</v>
      </c>
      <c r="EI5" s="1358" t="s">
        <v>592</v>
      </c>
      <c r="EJ5" s="1358" t="s">
        <v>593</v>
      </c>
      <c r="EK5" s="1373" t="s">
        <v>670</v>
      </c>
      <c r="EL5" s="1376" t="s">
        <v>686</v>
      </c>
      <c r="EM5" s="1377"/>
      <c r="EN5" s="1378"/>
      <c r="EO5" s="1370" t="s">
        <v>743</v>
      </c>
      <c r="EP5" s="1370" t="s">
        <v>745</v>
      </c>
      <c r="EQ5" s="1370" t="s">
        <v>746</v>
      </c>
      <c r="ER5" s="1370" t="s">
        <v>751</v>
      </c>
      <c r="ES5" s="1370" t="s">
        <v>756</v>
      </c>
      <c r="ET5" s="1367" t="s">
        <v>820</v>
      </c>
      <c r="EU5" s="1367" t="s">
        <v>821</v>
      </c>
      <c r="EV5" s="1475" t="s">
        <v>837</v>
      </c>
      <c r="EW5" s="1475" t="s">
        <v>842</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c r="BO6" s="1243"/>
      <c r="BP6" s="1243"/>
      <c r="BQ6" s="1243"/>
      <c r="BR6" s="1243"/>
      <c r="BS6" s="1243"/>
      <c r="BT6" s="1243"/>
      <c r="BU6" s="1243"/>
      <c r="BV6" s="1413"/>
      <c r="BW6" s="1419"/>
      <c r="BX6" s="1419"/>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374"/>
      <c r="EL6" s="1379"/>
      <c r="EM6" s="1380"/>
      <c r="EN6" s="1381"/>
      <c r="EO6" s="1371"/>
      <c r="EP6" s="1371"/>
      <c r="EQ6" s="1371"/>
      <c r="ER6" s="1371"/>
      <c r="ES6" s="1371"/>
      <c r="ET6" s="1368"/>
      <c r="EU6" s="1368"/>
      <c r="EV6" s="1476"/>
      <c r="EW6" s="1476"/>
      <c r="EX6" s="1473"/>
      <c r="EY6" s="1467"/>
    </row>
    <row r="7" spans="1:155" ht="87" customHeight="1" thickBot="1">
      <c r="A7" s="69" t="s">
        <v>742</v>
      </c>
      <c r="B7" s="1426"/>
      <c r="C7" s="1429"/>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20"/>
      <c r="BX7" s="1420"/>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375"/>
      <c r="EL7" s="641" t="s">
        <v>687</v>
      </c>
      <c r="EM7" s="641" t="s">
        <v>95</v>
      </c>
      <c r="EN7" s="641" t="s">
        <v>96</v>
      </c>
      <c r="EO7" s="1372"/>
      <c r="EP7" s="1372"/>
      <c r="EQ7" s="1372"/>
      <c r="ER7" s="1372"/>
      <c r="ES7" s="1372"/>
      <c r="ET7" s="1369"/>
      <c r="EU7" s="1369"/>
      <c r="EV7" s="1477"/>
      <c r="EW7" s="1477"/>
      <c r="EX7" s="1474"/>
      <c r="EY7" s="1468"/>
    </row>
    <row r="8" spans="1:155"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row>
    <row r="9" spans="1:155"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row>
    <row r="10" spans="1:155" ht="14.25" customHeight="1">
      <c r="A10" s="20" t="s">
        <v>143</v>
      </c>
      <c r="B10" s="21" t="s">
        <v>402</v>
      </c>
      <c r="C10" s="22" t="s">
        <v>3</v>
      </c>
      <c r="D10" s="23" t="s">
        <v>82</v>
      </c>
      <c r="E10" s="21" t="s">
        <v>82</v>
      </c>
      <c r="F10" s="21" t="s">
        <v>138</v>
      </c>
      <c r="G10" s="6"/>
      <c r="H10" s="28"/>
      <c r="I10" s="180">
        <v>2</v>
      </c>
      <c r="J10" s="181">
        <v>1</v>
      </c>
      <c r="K10" s="181">
        <v>2</v>
      </c>
      <c r="L10" s="181">
        <v>1</v>
      </c>
      <c r="M10" s="181">
        <v>0</v>
      </c>
      <c r="N10" s="181">
        <v>0</v>
      </c>
      <c r="O10" s="181">
        <v>0</v>
      </c>
      <c r="P10" s="181">
        <v>0</v>
      </c>
      <c r="Q10" s="181">
        <v>0</v>
      </c>
      <c r="R10" s="181">
        <v>0</v>
      </c>
      <c r="S10" s="181">
        <v>0</v>
      </c>
      <c r="T10" s="181">
        <v>3</v>
      </c>
      <c r="U10" s="181">
        <v>0</v>
      </c>
      <c r="V10" s="181">
        <v>3</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0</v>
      </c>
      <c r="AZ10" s="129">
        <f t="shared" si="0"/>
        <v>3</v>
      </c>
      <c r="BA10" s="129">
        <f t="shared" si="0"/>
        <v>0</v>
      </c>
      <c r="BB10" s="129">
        <f t="shared" si="0"/>
        <v>3</v>
      </c>
      <c r="BC10" s="125">
        <f t="shared" si="0"/>
        <v>0</v>
      </c>
      <c r="BD10" s="126">
        <f>IF(ISNUMBER(BA10/AZ10),BA10/AZ10," - ")</f>
        <v>0</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row>
    <row r="11" spans="1:155"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row>
    <row r="12" spans="1:155" ht="14.25" customHeight="1">
      <c r="A12" s="20" t="s">
        <v>404</v>
      </c>
      <c r="B12" s="21" t="s">
        <v>402</v>
      </c>
      <c r="C12" s="22" t="s">
        <v>3</v>
      </c>
      <c r="D12" s="23" t="s">
        <v>20</v>
      </c>
      <c r="E12" s="21" t="s">
        <v>20</v>
      </c>
      <c r="F12" s="21">
        <v>31</v>
      </c>
      <c r="G12" s="6"/>
      <c r="H12" s="215"/>
      <c r="I12" s="182">
        <v>296</v>
      </c>
      <c r="J12" s="183">
        <v>96</v>
      </c>
      <c r="K12" s="183">
        <v>92</v>
      </c>
      <c r="L12" s="183">
        <v>305</v>
      </c>
      <c r="M12" s="183">
        <v>19</v>
      </c>
      <c r="N12" s="183">
        <v>52</v>
      </c>
      <c r="O12" s="181">
        <v>39</v>
      </c>
      <c r="P12" s="183">
        <v>23</v>
      </c>
      <c r="Q12" s="183">
        <v>11</v>
      </c>
      <c r="R12" s="183">
        <v>462</v>
      </c>
      <c r="S12" s="183">
        <v>218</v>
      </c>
      <c r="T12" s="183">
        <v>77</v>
      </c>
      <c r="U12" s="183">
        <v>76</v>
      </c>
      <c r="V12" s="183">
        <v>219</v>
      </c>
      <c r="W12" s="183">
        <v>15</v>
      </c>
      <c r="X12" s="189">
        <v>45</v>
      </c>
      <c r="Y12" s="191">
        <v>11</v>
      </c>
      <c r="Z12" s="181">
        <v>7</v>
      </c>
      <c r="AA12" s="181">
        <v>12</v>
      </c>
      <c r="AB12" s="181">
        <v>7</v>
      </c>
      <c r="AC12" s="183">
        <v>0</v>
      </c>
      <c r="AD12" s="183">
        <v>0</v>
      </c>
      <c r="AE12" s="183">
        <v>0</v>
      </c>
      <c r="AF12" s="189">
        <v>0</v>
      </c>
      <c r="AG12" s="202">
        <v>6</v>
      </c>
      <c r="AH12" s="183">
        <v>4</v>
      </c>
      <c r="AI12" s="183">
        <v>4</v>
      </c>
      <c r="AJ12" s="203">
        <v>6</v>
      </c>
      <c r="AK12" s="182">
        <v>0</v>
      </c>
      <c r="AL12" s="183">
        <v>0</v>
      </c>
      <c r="AM12" s="183">
        <v>0</v>
      </c>
      <c r="AN12" s="189">
        <v>0</v>
      </c>
      <c r="AO12" s="259">
        <v>1</v>
      </c>
      <c r="AP12" s="155">
        <v>1</v>
      </c>
      <c r="AQ12" s="155">
        <v>1</v>
      </c>
      <c r="AR12" s="154">
        <v>1</v>
      </c>
      <c r="AS12" s="340" t="s">
        <v>802</v>
      </c>
      <c r="AT12" s="203"/>
      <c r="AU12" s="202"/>
      <c r="AV12" s="203"/>
      <c r="AW12" s="202"/>
      <c r="AX12" s="203"/>
      <c r="AY12" s="126">
        <f t="shared" si="1"/>
        <v>224</v>
      </c>
      <c r="AZ12" s="127">
        <f t="shared" si="1"/>
        <v>81</v>
      </c>
      <c r="BA12" s="127">
        <f t="shared" si="1"/>
        <v>80</v>
      </c>
      <c r="BB12" s="127">
        <f t="shared" si="1"/>
        <v>225</v>
      </c>
      <c r="BC12" s="125">
        <f>IF(ISNUMBER(X12),X12," - ")</f>
        <v>45</v>
      </c>
      <c r="BD12" s="126">
        <f t="shared" si="2"/>
        <v>0.98765432098765427</v>
      </c>
      <c r="BE12" s="127">
        <f t="shared" si="3"/>
        <v>2.8125</v>
      </c>
      <c r="BF12" s="127">
        <f t="shared" si="4"/>
        <v>0.5625</v>
      </c>
      <c r="BG12" s="196">
        <f t="shared" si="5"/>
        <v>3.8125</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row>
    <row r="13" spans="1:155" ht="14.25" customHeight="1" thickBot="1">
      <c r="A13" s="74" t="s">
        <v>0</v>
      </c>
      <c r="B13" s="75" t="s">
        <v>402</v>
      </c>
      <c r="C13" s="76" t="s">
        <v>4</v>
      </c>
      <c r="D13" s="77"/>
      <c r="E13" s="78"/>
      <c r="F13" s="78"/>
      <c r="G13" s="79"/>
      <c r="H13" s="80"/>
      <c r="I13" s="184">
        <f t="shared" ref="I13:AE13" si="6">SUBTOTAL(9,I8:I12)</f>
        <v>298</v>
      </c>
      <c r="J13" s="184">
        <f t="shared" si="6"/>
        <v>97</v>
      </c>
      <c r="K13" s="184">
        <f t="shared" si="6"/>
        <v>94</v>
      </c>
      <c r="L13" s="184">
        <f t="shared" si="6"/>
        <v>306</v>
      </c>
      <c r="M13" s="184">
        <f t="shared" si="6"/>
        <v>19</v>
      </c>
      <c r="N13" s="184">
        <f t="shared" si="6"/>
        <v>52</v>
      </c>
      <c r="O13" s="184">
        <f t="shared" si="6"/>
        <v>39</v>
      </c>
      <c r="P13" s="184">
        <f t="shared" si="6"/>
        <v>23</v>
      </c>
      <c r="Q13" s="184">
        <f t="shared" si="6"/>
        <v>11</v>
      </c>
      <c r="R13" s="184">
        <f t="shared" si="6"/>
        <v>462</v>
      </c>
      <c r="S13" s="184">
        <f t="shared" si="6"/>
        <v>218</v>
      </c>
      <c r="T13" s="184">
        <f t="shared" si="6"/>
        <v>80</v>
      </c>
      <c r="U13" s="184">
        <f t="shared" si="6"/>
        <v>76</v>
      </c>
      <c r="V13" s="184">
        <f t="shared" si="6"/>
        <v>222</v>
      </c>
      <c r="W13" s="184">
        <f t="shared" si="6"/>
        <v>15</v>
      </c>
      <c r="X13" s="184">
        <f t="shared" si="6"/>
        <v>45</v>
      </c>
      <c r="Y13" s="184">
        <f t="shared" si="6"/>
        <v>11</v>
      </c>
      <c r="Z13" s="184">
        <f t="shared" si="6"/>
        <v>7</v>
      </c>
      <c r="AA13" s="184">
        <f t="shared" si="6"/>
        <v>12</v>
      </c>
      <c r="AB13" s="184">
        <f t="shared" si="6"/>
        <v>7</v>
      </c>
      <c r="AC13" s="184">
        <f t="shared" si="6"/>
        <v>0</v>
      </c>
      <c r="AD13" s="184">
        <f t="shared" si="6"/>
        <v>0</v>
      </c>
      <c r="AE13" s="184">
        <f t="shared" si="6"/>
        <v>0</v>
      </c>
      <c r="AF13" s="184">
        <f>SUBTOTAL(9,AF9:AF12)</f>
        <v>0</v>
      </c>
      <c r="AG13" s="184">
        <f t="shared" ref="AG13:AT13" si="7">SUBTOTAL(9,AG8:AG12)</f>
        <v>6</v>
      </c>
      <c r="AH13" s="184">
        <f t="shared" si="7"/>
        <v>4</v>
      </c>
      <c r="AI13" s="184">
        <f t="shared" si="7"/>
        <v>4</v>
      </c>
      <c r="AJ13" s="184">
        <f t="shared" si="7"/>
        <v>6</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224</v>
      </c>
      <c r="AZ13" s="184">
        <f>SUBTOTAL(9,AZ8:AZ12)</f>
        <v>84</v>
      </c>
      <c r="BA13" s="184">
        <f>SUBTOTAL(9,BA8:BA12)</f>
        <v>80</v>
      </c>
      <c r="BB13" s="184">
        <f>SUBTOTAL(9,BB8:BB12)</f>
        <v>228</v>
      </c>
      <c r="BC13" s="184">
        <f>SUBTOTAL(9,BC8:BC12)</f>
        <v>45</v>
      </c>
      <c r="BD13" s="205">
        <f>IF(ISNUMBER(BA13/AZ13),BA13/AZ13," - ")</f>
        <v>0.95238095238095233</v>
      </c>
      <c r="BE13" s="206">
        <f>IF(ISNUMBER(BB13/BA13),BB13/BA13, " - ")</f>
        <v>2.85</v>
      </c>
      <c r="BF13" s="206">
        <f>IF(ISNUMBER(BC13/BA13),BC13/BA13, " - ")</f>
        <v>0.5625</v>
      </c>
      <c r="BG13" s="207">
        <f>IF(ISNUMBER((AY13+AZ13)/BA13),(AY13+AZ13)/BA13," - ")</f>
        <v>3.85</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row>
    <row r="14" spans="1:155"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row>
    <row r="16" spans="1:155" ht="14.25" customHeight="1">
      <c r="A16" s="7" t="s">
        <v>404</v>
      </c>
      <c r="B16" s="21" t="s">
        <v>402</v>
      </c>
      <c r="C16" s="22" t="s">
        <v>3</v>
      </c>
      <c r="D16" s="23" t="s">
        <v>20</v>
      </c>
      <c r="E16" s="21" t="s">
        <v>20</v>
      </c>
      <c r="F16" s="21">
        <v>31</v>
      </c>
      <c r="G16" s="6"/>
      <c r="H16" s="24"/>
      <c r="I16" s="182">
        <v>129</v>
      </c>
      <c r="J16" s="183">
        <v>136</v>
      </c>
      <c r="K16" s="183">
        <v>140</v>
      </c>
      <c r="L16" s="183">
        <v>109</v>
      </c>
      <c r="M16" s="183">
        <v>11</v>
      </c>
      <c r="N16" s="183">
        <v>101</v>
      </c>
      <c r="O16" s="181">
        <v>0</v>
      </c>
      <c r="P16" s="183">
        <v>2</v>
      </c>
      <c r="Q16" s="183">
        <v>7</v>
      </c>
      <c r="R16" s="183">
        <v>11</v>
      </c>
      <c r="S16" s="183">
        <v>124</v>
      </c>
      <c r="T16" s="183">
        <v>162</v>
      </c>
      <c r="U16" s="183">
        <v>155</v>
      </c>
      <c r="V16" s="183">
        <v>134</v>
      </c>
      <c r="W16" s="183">
        <v>6</v>
      </c>
      <c r="X16" s="189">
        <v>122</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124</v>
      </c>
      <c r="AZ16" s="127">
        <f t="shared" si="9"/>
        <v>162</v>
      </c>
      <c r="BA16" s="127">
        <f t="shared" si="9"/>
        <v>155</v>
      </c>
      <c r="BB16" s="127">
        <f t="shared" si="9"/>
        <v>134</v>
      </c>
      <c r="BC16" s="125">
        <f>IF(ISNUMBER(W16),W16," - ")</f>
        <v>6</v>
      </c>
      <c r="BD16" s="126">
        <f t="shared" ref="BD16" si="11">IF(ISNUMBER(BA16/AZ16),BA16/AZ16," - ")</f>
        <v>0.95679012345679015</v>
      </c>
      <c r="BE16" s="127">
        <f t="shared" ref="BE16" si="12">IF(ISNUMBER(BB16/BA16),BB16/BA16, " - ")</f>
        <v>0.86451612903225805</v>
      </c>
      <c r="BF16" s="127">
        <f t="shared" ref="BF16" si="13">IF(ISNUMBER(BC16/BA16),BC16/BA16, " - ")</f>
        <v>3.870967741935484E-2</v>
      </c>
      <c r="BG16" s="196">
        <f t="shared" si="10"/>
        <v>1.8451612903225807</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row>
    <row r="17" spans="1:155" ht="14.25" customHeight="1">
      <c r="A17" s="7" t="s">
        <v>143</v>
      </c>
      <c r="B17" s="21" t="s">
        <v>402</v>
      </c>
      <c r="C17" s="22" t="s">
        <v>3</v>
      </c>
      <c r="D17" s="23" t="s">
        <v>82</v>
      </c>
      <c r="E17" s="21" t="s">
        <v>82</v>
      </c>
      <c r="F17" s="21" t="s">
        <v>138</v>
      </c>
      <c r="G17" s="6"/>
      <c r="H17" s="24"/>
      <c r="I17" s="182">
        <v>10</v>
      </c>
      <c r="J17" s="183">
        <v>3</v>
      </c>
      <c r="K17" s="183">
        <v>0</v>
      </c>
      <c r="L17" s="183">
        <v>13</v>
      </c>
      <c r="M17" s="183">
        <v>0</v>
      </c>
      <c r="N17" s="183">
        <v>3</v>
      </c>
      <c r="O17" s="183">
        <v>0</v>
      </c>
      <c r="P17" s="183">
        <v>0</v>
      </c>
      <c r="Q17" s="183">
        <v>0</v>
      </c>
      <c r="R17" s="183">
        <v>0</v>
      </c>
      <c r="S17" s="183">
        <v>3</v>
      </c>
      <c r="T17" s="183">
        <v>11</v>
      </c>
      <c r="U17" s="183">
        <v>7</v>
      </c>
      <c r="V17" s="183">
        <v>7</v>
      </c>
      <c r="W17" s="183">
        <v>0</v>
      </c>
      <c r="X17" s="189">
        <v>10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v>
      </c>
      <c r="AZ17" s="129">
        <f t="shared" si="14"/>
        <v>11</v>
      </c>
      <c r="BA17" s="129">
        <f t="shared" si="14"/>
        <v>7</v>
      </c>
      <c r="BB17" s="129">
        <f t="shared" si="14"/>
        <v>7</v>
      </c>
      <c r="BC17" s="125">
        <f>IF(ISNUMBER(W17),W17," - ")</f>
        <v>0</v>
      </c>
      <c r="BD17" s="126">
        <f>IF(ISNUMBER(BA17/AZ17),BA17/AZ17," - ")</f>
        <v>0.63636363636363635</v>
      </c>
      <c r="BE17" s="127">
        <f>IF(ISNUMBER(BB17/BA17),BB17/BA17, " - ")</f>
        <v>1</v>
      </c>
      <c r="BF17" s="127">
        <f>IF(ISNUMBER(BC17/BA17),BC17/BA17, " - ")</f>
        <v>0</v>
      </c>
      <c r="BG17" s="196">
        <f>IF(ISNUMBER((AY17+AZ17)/BA17),(AY17+AZ17)/BA17," - ")</f>
        <v>2</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row>
    <row r="18" spans="1:155" ht="14.25" customHeight="1" thickBot="1">
      <c r="A18" s="74" t="s">
        <v>0</v>
      </c>
      <c r="B18" s="75" t="s">
        <v>402</v>
      </c>
      <c r="C18" s="76" t="s">
        <v>4</v>
      </c>
      <c r="D18" s="77"/>
      <c r="E18" s="78"/>
      <c r="F18" s="78"/>
      <c r="G18" s="79"/>
      <c r="H18" s="80"/>
      <c r="I18" s="184">
        <f t="shared" ref="I18:AT18" si="15">SUBTOTAL(9,I14:I17)</f>
        <v>139</v>
      </c>
      <c r="J18" s="184">
        <f t="shared" si="15"/>
        <v>139</v>
      </c>
      <c r="K18" s="184">
        <f t="shared" si="15"/>
        <v>140</v>
      </c>
      <c r="L18" s="184">
        <f t="shared" si="15"/>
        <v>122</v>
      </c>
      <c r="M18" s="184">
        <f t="shared" si="15"/>
        <v>11</v>
      </c>
      <c r="N18" s="184">
        <f t="shared" si="15"/>
        <v>104</v>
      </c>
      <c r="O18" s="184">
        <f t="shared" si="15"/>
        <v>0</v>
      </c>
      <c r="P18" s="184">
        <f t="shared" si="15"/>
        <v>2</v>
      </c>
      <c r="Q18" s="184">
        <f t="shared" si="15"/>
        <v>7</v>
      </c>
      <c r="R18" s="184">
        <f t="shared" si="15"/>
        <v>11</v>
      </c>
      <c r="S18" s="184">
        <f t="shared" si="15"/>
        <v>127</v>
      </c>
      <c r="T18" s="184">
        <f t="shared" si="15"/>
        <v>173</v>
      </c>
      <c r="U18" s="184">
        <f t="shared" si="15"/>
        <v>162</v>
      </c>
      <c r="V18" s="184">
        <f t="shared" si="15"/>
        <v>141</v>
      </c>
      <c r="W18" s="184">
        <f t="shared" si="15"/>
        <v>6</v>
      </c>
      <c r="X18" s="184">
        <f t="shared" si="15"/>
        <v>132</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127</v>
      </c>
      <c r="AZ18" s="184">
        <f>SUBTOTAL(9,AZ14:AZ17)</f>
        <v>173</v>
      </c>
      <c r="BA18" s="184">
        <f>SUBTOTAL(9,BA14:BA17)</f>
        <v>162</v>
      </c>
      <c r="BB18" s="184">
        <f>SUBTOTAL(9,BB14:BB17)</f>
        <v>141</v>
      </c>
      <c r="BC18" s="184">
        <f>SUBTOTAL(9,BC14:BC17)</f>
        <v>6</v>
      </c>
      <c r="BD18" s="205">
        <f>IF(ISNUMBER(BA18/AZ18),BA18/AZ18," - ")</f>
        <v>0.93641618497109824</v>
      </c>
      <c r="BE18" s="206">
        <f>IF(ISNUMBER(BB18/BA18),BB18/BA18, " - ")</f>
        <v>0.87037037037037035</v>
      </c>
      <c r="BF18" s="206">
        <f>IF(ISNUMBER(BC18/BA18),BC18/BA18, " - ")</f>
        <v>3.7037037037037035E-2</v>
      </c>
      <c r="BG18" s="207">
        <f>IF(ISNUMBER((AY18+AZ18)/BA18),(AY18+AZ18)/BA18," - ")</f>
        <v>1.8518518518518519</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34">
        <f t="shared" ref="I19:AT19" si="18">SUBTOTAL(9,I9:I18)</f>
        <v>437</v>
      </c>
      <c r="J19" s="134">
        <f t="shared" si="18"/>
        <v>236</v>
      </c>
      <c r="K19" s="134">
        <f t="shared" si="18"/>
        <v>234</v>
      </c>
      <c r="L19" s="134">
        <f t="shared" si="18"/>
        <v>428</v>
      </c>
      <c r="M19" s="134">
        <f t="shared" si="18"/>
        <v>30</v>
      </c>
      <c r="N19" s="134">
        <f t="shared" si="18"/>
        <v>156</v>
      </c>
      <c r="O19" s="134">
        <f t="shared" si="18"/>
        <v>39</v>
      </c>
      <c r="P19" s="134">
        <f t="shared" si="18"/>
        <v>25</v>
      </c>
      <c r="Q19" s="134">
        <f t="shared" si="18"/>
        <v>18</v>
      </c>
      <c r="R19" s="134">
        <f t="shared" si="18"/>
        <v>473</v>
      </c>
      <c r="S19" s="134">
        <f t="shared" si="18"/>
        <v>345</v>
      </c>
      <c r="T19" s="134">
        <f t="shared" si="18"/>
        <v>253</v>
      </c>
      <c r="U19" s="134">
        <f t="shared" si="18"/>
        <v>238</v>
      </c>
      <c r="V19" s="134">
        <f t="shared" si="18"/>
        <v>363</v>
      </c>
      <c r="W19" s="134">
        <f t="shared" si="18"/>
        <v>21</v>
      </c>
      <c r="X19" s="134">
        <f t="shared" si="18"/>
        <v>177</v>
      </c>
      <c r="Y19" s="134">
        <f t="shared" si="18"/>
        <v>11</v>
      </c>
      <c r="Z19" s="134">
        <f t="shared" si="18"/>
        <v>7</v>
      </c>
      <c r="AA19" s="134">
        <f t="shared" si="18"/>
        <v>12</v>
      </c>
      <c r="AB19" s="134">
        <f t="shared" si="18"/>
        <v>7</v>
      </c>
      <c r="AC19" s="134">
        <f t="shared" si="18"/>
        <v>0</v>
      </c>
      <c r="AD19" s="134">
        <f t="shared" si="18"/>
        <v>0</v>
      </c>
      <c r="AE19" s="134">
        <f t="shared" si="18"/>
        <v>0</v>
      </c>
      <c r="AF19" s="134">
        <f t="shared" si="18"/>
        <v>0</v>
      </c>
      <c r="AG19" s="134">
        <f t="shared" si="18"/>
        <v>6</v>
      </c>
      <c r="AH19" s="134">
        <f t="shared" si="18"/>
        <v>4</v>
      </c>
      <c r="AI19" s="134">
        <f t="shared" si="18"/>
        <v>4</v>
      </c>
      <c r="AJ19" s="134">
        <f t="shared" si="18"/>
        <v>6</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351</v>
      </c>
      <c r="AZ19" s="134">
        <f>SUBTOTAL(9,AZ9:AZ18)</f>
        <v>257</v>
      </c>
      <c r="BA19" s="134">
        <f>SUBTOTAL(9,BA9:BA18)</f>
        <v>242</v>
      </c>
      <c r="BB19" s="134">
        <f>SUBTOTAL(9,BB9:BB18)</f>
        <v>369</v>
      </c>
      <c r="BC19" s="135">
        <f>SUBTOTAL(9,BC9:BC18)</f>
        <v>51</v>
      </c>
      <c r="BD19" s="213">
        <f>IF(ISNUMBER(BA19/AZ19),BA19/AZ19," - ")</f>
        <v>0.94163424124513617</v>
      </c>
      <c r="BE19" s="210">
        <f>IF(ISNUMBER(BB19/BA19),BB19/BA19, " - ")</f>
        <v>1.524793388429752</v>
      </c>
      <c r="BF19" s="210">
        <f>IF(ISNUMBER(BC19/BA19),BC19/BA19, " - ")</f>
        <v>0.21074380165289255</v>
      </c>
      <c r="BG19" s="135">
        <f>IF(ISNUMBER((AY19+AZ19)/BA19),(AY19+AZ19)/BA19," - ")</f>
        <v>2.5123966942148761</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roNn9OjQ9dOuwUaAoXIzIa3WDxBYAXZWO9hNPwTYRfaDvTmrD5vDQgdx4TXJ3bypQtECTXh1Nv+lUQqutgYTDQ==" saltValue="BSRap5CBHoun7CqhuicExw==" spinCount="100000" sheet="1" objects="1" scenarios="1"/>
  <mergeCells count="123">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0" priority="416" stopIfTrue="1" operator="equal">
      <formula>$A$30</formula>
    </cfRule>
  </conditionalFormatting>
  <conditionalFormatting sqref="I13:BC14 I18:BC18 EO18:EQ18 I19:EQ19 EX19:EY19">
    <cfRule type="cellIs" dxfId="579" priority="1739" stopIfTrue="1" operator="equal">
      <formula>$A$31</formula>
    </cfRule>
  </conditionalFormatting>
  <conditionalFormatting sqref="I1:DG1">
    <cfRule type="cellIs" dxfId="578" priority="2040" stopIfTrue="1" operator="equal">
      <formula>$A$31</formula>
    </cfRule>
  </conditionalFormatting>
  <conditionalFormatting sqref="I8:EY8">
    <cfRule type="cellIs" dxfId="577" priority="22"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Y12">
    <cfRule type="cellIs" dxfId="576" priority="478" stopIfTrue="1" operator="equal">
      <formula>$A$31</formula>
    </cfRule>
  </conditionalFormatting>
  <conditionalFormatting sqref="AP16:AS16">
    <cfRule type="cellIs" dxfId="575" priority="1834" stopIfTrue="1" operator="equal">
      <formula>$A$30</formula>
    </cfRule>
  </conditionalFormatting>
  <conditionalFormatting sqref="AS15:AS16">
    <cfRule type="cellIs" dxfId="574" priority="1758" stopIfTrue="1" operator="equal">
      <formula>$A$30</formula>
    </cfRule>
    <cfRule type="cellIs" dxfId="573" priority="1830" stopIfTrue="1" operator="equal">
      <formula>$A$30</formula>
    </cfRule>
  </conditionalFormatting>
  <conditionalFormatting sqref="AS15:AS17">
    <cfRule type="cellIs" dxfId="572" priority="1826" stopIfTrue="1" operator="equal">
      <formula>$A$31</formula>
    </cfRule>
    <cfRule type="cellIs" dxfId="571" priority="1829" stopIfTrue="1" operator="equal">
      <formula>$A$31</formula>
    </cfRule>
  </conditionalFormatting>
  <conditionalFormatting sqref="AS16">
    <cfRule type="cellIs" dxfId="570" priority="1827" stopIfTrue="1" operator="equal">
      <formula>$A$30</formula>
    </cfRule>
  </conditionalFormatting>
  <conditionalFormatting sqref="AU15">
    <cfRule type="cellIs" dxfId="569" priority="1511" stopIfTrue="1" operator="equal">
      <formula>$A$31</formula>
    </cfRule>
    <cfRule type="cellIs" dxfId="568" priority="1513" stopIfTrue="1" operator="equal">
      <formula>$A$30</formula>
    </cfRule>
    <cfRule type="cellIs" dxfId="567" priority="1514" stopIfTrue="1" operator="equal">
      <formula>$A$31</formula>
    </cfRule>
    <cfRule type="cellIs" dxfId="566" priority="1516" stopIfTrue="1" operator="equal">
      <formula>$A$30</formula>
    </cfRule>
    <cfRule type="cellIs" dxfId="565" priority="1517" stopIfTrue="1" operator="equal">
      <formula>$A$31</formula>
    </cfRule>
    <cfRule type="cellIs" dxfId="564" priority="1519" stopIfTrue="1" operator="equal">
      <formula>$A$30</formula>
    </cfRule>
    <cfRule type="cellIs" dxfId="563" priority="1520" stopIfTrue="1" operator="equal">
      <formula>$A$31</formula>
    </cfRule>
    <cfRule type="cellIs" dxfId="562" priority="1522" stopIfTrue="1" operator="equal">
      <formula>$A$30</formula>
    </cfRule>
    <cfRule type="cellIs" dxfId="561" priority="1523" stopIfTrue="1" operator="equal">
      <formula>$A$31</formula>
    </cfRule>
    <cfRule type="cellIs" dxfId="560" priority="1525" stopIfTrue="1" operator="equal">
      <formula>$A$30</formula>
    </cfRule>
    <cfRule type="cellIs" dxfId="559" priority="1526" stopIfTrue="1" operator="equal">
      <formula>$A$31</formula>
    </cfRule>
    <cfRule type="cellIs" dxfId="558" priority="1528" stopIfTrue="1" operator="equal">
      <formula>$A$30</formula>
    </cfRule>
    <cfRule type="cellIs" dxfId="557" priority="1529" stopIfTrue="1" operator="equal">
      <formula>$A$31</formula>
    </cfRule>
  </conditionalFormatting>
  <conditionalFormatting sqref="AU15:AU16">
    <cfRule type="cellIs" dxfId="556" priority="1482" stopIfTrue="1" operator="equal">
      <formula>$A$30</formula>
    </cfRule>
    <cfRule type="cellIs" dxfId="555" priority="1672" stopIfTrue="1" operator="equal">
      <formula>$A$30</formula>
    </cfRule>
  </conditionalFormatting>
  <conditionalFormatting sqref="AU16">
    <cfRule type="cellIs" dxfId="554" priority="1461" stopIfTrue="1" operator="equal">
      <formula>$A$30</formula>
    </cfRule>
    <cfRule type="cellIs" dxfId="553" priority="1462" stopIfTrue="1" operator="equal">
      <formula>$A$31</formula>
    </cfRule>
    <cfRule type="cellIs" dxfId="552" priority="1464" stopIfTrue="1" operator="equal">
      <formula>$A$30</formula>
    </cfRule>
    <cfRule type="cellIs" dxfId="551" priority="1465" stopIfTrue="1" operator="equal">
      <formula>$A$31</formula>
    </cfRule>
    <cfRule type="cellIs" dxfId="550" priority="1467" stopIfTrue="1" operator="equal">
      <formula>$A$30</formula>
    </cfRule>
    <cfRule type="cellIs" dxfId="549" priority="1468" stopIfTrue="1" operator="equal">
      <formula>$A$31</formula>
    </cfRule>
    <cfRule type="cellIs" dxfId="548" priority="1470" stopIfTrue="1" operator="equal">
      <formula>$A$30</formula>
    </cfRule>
    <cfRule type="cellIs" dxfId="547" priority="1471" stopIfTrue="1" operator="equal">
      <formula>$A$31</formula>
    </cfRule>
    <cfRule type="cellIs" dxfId="546" priority="1473" stopIfTrue="1" operator="equal">
      <formula>$A$30</formula>
    </cfRule>
    <cfRule type="cellIs" dxfId="545" priority="1474" stopIfTrue="1" operator="equal">
      <formula>$A$31</formula>
    </cfRule>
    <cfRule type="cellIs" dxfId="544" priority="1476" stopIfTrue="1" operator="equal">
      <formula>$A$30</formula>
    </cfRule>
    <cfRule type="cellIs" dxfId="543" priority="1477" stopIfTrue="1" operator="equal">
      <formula>$A$31</formula>
    </cfRule>
    <cfRule type="cellIs" dxfId="542" priority="1479" stopIfTrue="1" operator="equal">
      <formula>$A$30</formula>
    </cfRule>
    <cfRule type="cellIs" dxfId="541" priority="1480" stopIfTrue="1" operator="equal">
      <formula>$A$31</formula>
    </cfRule>
  </conditionalFormatting>
  <conditionalFormatting sqref="AU17">
    <cfRule type="cellIs" dxfId="540" priority="1410" stopIfTrue="1" operator="equal">
      <formula>$A$31</formula>
    </cfRule>
  </conditionalFormatting>
  <conditionalFormatting sqref="AW11">
    <cfRule type="cellIs" dxfId="539" priority="1637" stopIfTrue="1" operator="equal">
      <formula>$A$30</formula>
    </cfRule>
    <cfRule type="cellIs" dxfId="538" priority="1639" stopIfTrue="1" operator="equal">
      <formula>$A$30</formula>
    </cfRule>
    <cfRule type="cellIs" dxfId="537" priority="1641" stopIfTrue="1" operator="equal">
      <formula>$A$30</formula>
    </cfRule>
    <cfRule type="cellIs" dxfId="536" priority="1643" stopIfTrue="1" operator="equal">
      <formula>$A$30</formula>
    </cfRule>
    <cfRule type="cellIs" dxfId="535" priority="1645" stopIfTrue="1" operator="equal">
      <formula>$A$30</formula>
    </cfRule>
    <cfRule type="cellIs" dxfId="534" priority="1647" stopIfTrue="1" operator="equal">
      <formula>$A$30</formula>
    </cfRule>
    <cfRule type="cellIs" dxfId="533" priority="1649" stopIfTrue="1" operator="equal">
      <formula>$A$30</formula>
    </cfRule>
    <cfRule type="cellIs" dxfId="532" priority="1651" stopIfTrue="1" operator="equal">
      <formula>$A$30</formula>
    </cfRule>
    <cfRule type="cellIs" dxfId="531" priority="1653" stopIfTrue="1" operator="equal">
      <formula>$A$30</formula>
    </cfRule>
    <cfRule type="cellIs" dxfId="530" priority="1655" stopIfTrue="1" operator="equal">
      <formula>$A$30</formula>
    </cfRule>
    <cfRule type="cellIs" dxfId="529" priority="1657" stopIfTrue="1" operator="equal">
      <formula>$A$30</formula>
    </cfRule>
    <cfRule type="cellIs" dxfId="528" priority="1659" stopIfTrue="1" operator="equal">
      <formula>$A$30</formula>
    </cfRule>
    <cfRule type="cellIs" dxfId="527" priority="1661" stopIfTrue="1" operator="equal">
      <formula>$A$30</formula>
    </cfRule>
    <cfRule type="cellIs" dxfId="526" priority="1663" stopIfTrue="1" operator="equal">
      <formula>$A$30</formula>
    </cfRule>
    <cfRule type="cellIs" dxfId="525" priority="1665" stopIfTrue="1" operator="equal">
      <formula>$A$30</formula>
    </cfRule>
  </conditionalFormatting>
  <conditionalFormatting sqref="AW15">
    <cfRule type="cellIs" dxfId="524" priority="1492" stopIfTrue="1" operator="equal">
      <formula>$A$30</formula>
    </cfRule>
    <cfRule type="cellIs" dxfId="523" priority="1493" stopIfTrue="1" operator="equal">
      <formula>$A$31</formula>
    </cfRule>
    <cfRule type="cellIs" dxfId="522" priority="1495" stopIfTrue="1" operator="equal">
      <formula>$A$30</formula>
    </cfRule>
    <cfRule type="cellIs" dxfId="521" priority="1496" stopIfTrue="1" operator="equal">
      <formula>$A$31</formula>
    </cfRule>
    <cfRule type="cellIs" dxfId="520" priority="1498" stopIfTrue="1" operator="equal">
      <formula>$A$30</formula>
    </cfRule>
    <cfRule type="cellIs" dxfId="519" priority="1499" stopIfTrue="1" operator="equal">
      <formula>$A$31</formula>
    </cfRule>
    <cfRule type="cellIs" dxfId="518" priority="1501" stopIfTrue="1" operator="equal">
      <formula>$A$30</formula>
    </cfRule>
    <cfRule type="cellIs" dxfId="517" priority="1502" stopIfTrue="1" operator="equal">
      <formula>$A$31</formula>
    </cfRule>
    <cfRule type="cellIs" dxfId="516" priority="1504" stopIfTrue="1" operator="equal">
      <formula>$A$30</formula>
    </cfRule>
    <cfRule type="cellIs" dxfId="515" priority="1505" stopIfTrue="1" operator="equal">
      <formula>$A$31</formula>
    </cfRule>
    <cfRule type="cellIs" dxfId="514" priority="1507" stopIfTrue="1" operator="equal">
      <formula>$A$30</formula>
    </cfRule>
    <cfRule type="cellIs" dxfId="513" priority="1508" stopIfTrue="1" operator="equal">
      <formula>$A$31</formula>
    </cfRule>
  </conditionalFormatting>
  <conditionalFormatting sqref="AW15:AW16">
    <cfRule type="cellIs" dxfId="512" priority="1458" stopIfTrue="1" operator="equal">
      <formula>$A$30</formula>
    </cfRule>
    <cfRule type="cellIs" dxfId="511" priority="1459" stopIfTrue="1" operator="equal">
      <formula>$A$31</formula>
    </cfRule>
  </conditionalFormatting>
  <conditionalFormatting sqref="AW16">
    <cfRule type="cellIs" dxfId="510" priority="1440" stopIfTrue="1" operator="equal">
      <formula>$A$30</formula>
    </cfRule>
    <cfRule type="cellIs" dxfId="509" priority="1441" stopIfTrue="1" operator="equal">
      <formula>$A$31</formula>
    </cfRule>
    <cfRule type="cellIs" dxfId="508" priority="1443" stopIfTrue="1" operator="equal">
      <formula>$A$30</formula>
    </cfRule>
    <cfRule type="cellIs" dxfId="507" priority="1444" stopIfTrue="1" operator="equal">
      <formula>$A$31</formula>
    </cfRule>
    <cfRule type="cellIs" dxfId="506" priority="1446" stopIfTrue="1" operator="equal">
      <formula>$A$30</formula>
    </cfRule>
    <cfRule type="cellIs" dxfId="505" priority="1447" stopIfTrue="1" operator="equal">
      <formula>$A$31</formula>
    </cfRule>
    <cfRule type="cellIs" dxfId="504" priority="1449" stopIfTrue="1" operator="equal">
      <formula>$A$30</formula>
    </cfRule>
    <cfRule type="cellIs" dxfId="503" priority="1450" stopIfTrue="1" operator="equal">
      <formula>$A$31</formula>
    </cfRule>
    <cfRule type="cellIs" dxfId="502" priority="1452" stopIfTrue="1" operator="equal">
      <formula>$A$30</formula>
    </cfRule>
    <cfRule type="cellIs" dxfId="501" priority="1453" stopIfTrue="1" operator="equal">
      <formula>$A$31</formula>
    </cfRule>
    <cfRule type="cellIs" dxfId="500" priority="1455" stopIfTrue="1" operator="equal">
      <formula>$A$30</formula>
    </cfRule>
    <cfRule type="cellIs" dxfId="499" priority="1456" stopIfTrue="1" operator="equal">
      <formula>$A$31</formula>
    </cfRule>
  </conditionalFormatting>
  <conditionalFormatting sqref="AW17">
    <cfRule type="cellIs" dxfId="498" priority="1381" stopIfTrue="1" operator="equal">
      <formula>$A$31</formula>
    </cfRule>
  </conditionalFormatting>
  <conditionalFormatting sqref="BD14:BG14">
    <cfRule type="cellIs" dxfId="497" priority="2276" stopIfTrue="1" operator="equal">
      <formula>$A$31</formula>
    </cfRule>
  </conditionalFormatting>
  <conditionalFormatting sqref="BH18:EN18">
    <cfRule type="cellIs" dxfId="496" priority="556" stopIfTrue="1" operator="equal">
      <formula>$A$31</formula>
    </cfRule>
  </conditionalFormatting>
  <conditionalFormatting sqref="BH13:EQ14">
    <cfRule type="cellIs" dxfId="495" priority="206" stopIfTrue="1" operator="equal">
      <formula>$A$31</formula>
    </cfRule>
  </conditionalFormatting>
  <conditionalFormatting sqref="BK12:BX12">
    <cfRule type="cellIs" dxfId="494" priority="2275" stopIfTrue="1" operator="equal">
      <formula>$A$31</formula>
    </cfRule>
  </conditionalFormatting>
  <conditionalFormatting sqref="BK17:CJ17">
    <cfRule type="cellIs" dxfId="493" priority="660" stopIfTrue="1" operator="equal">
      <formula>$A$31</formula>
    </cfRule>
  </conditionalFormatting>
  <conditionalFormatting sqref="BN16:BU16">
    <cfRule type="cellIs" dxfId="492" priority="2075" stopIfTrue="1" operator="equal">
      <formula>$A$30</formula>
    </cfRule>
  </conditionalFormatting>
  <conditionalFormatting sqref="BT16:BU16">
    <cfRule type="cellIs" dxfId="491" priority="2081" stopIfTrue="1" operator="equal">
      <formula>$A$31</formula>
    </cfRule>
  </conditionalFormatting>
  <conditionalFormatting sqref="BY11:BZ11">
    <cfRule type="cellIs" dxfId="490" priority="663" stopIfTrue="1" operator="equal">
      <formula>$A$30</formula>
    </cfRule>
  </conditionalFormatting>
  <conditionalFormatting sqref="BY12:CJ12">
    <cfRule type="cellIs" dxfId="489" priority="662" stopIfTrue="1" operator="equal">
      <formula>$A$31</formula>
    </cfRule>
  </conditionalFormatting>
  <conditionalFormatting sqref="BY16:CJ16">
    <cfRule type="cellIs" dxfId="488" priority="661" stopIfTrue="1" operator="equal">
      <formula>$A$30</formula>
    </cfRule>
  </conditionalFormatting>
  <conditionalFormatting sqref="CO11">
    <cfRule type="cellIs" dxfId="487" priority="2277" stopIfTrue="1" operator="equal">
      <formula>$A$30</formula>
    </cfRule>
  </conditionalFormatting>
  <conditionalFormatting sqref="DB15">
    <cfRule type="cellIs" dxfId="486" priority="1844" stopIfTrue="1" operator="equal">
      <formula>$A$30</formula>
    </cfRule>
    <cfRule type="cellIs" dxfId="485" priority="2062" stopIfTrue="1" operator="equal">
      <formula>$A$30</formula>
    </cfRule>
  </conditionalFormatting>
  <conditionalFormatting sqref="DB15:DE17">
    <cfRule type="cellIs" dxfId="484" priority="2053" stopIfTrue="1" operator="equal">
      <formula>$A$31</formula>
    </cfRule>
    <cfRule type="cellIs" dxfId="483" priority="2057" stopIfTrue="1" operator="equal">
      <formula>$A$31</formula>
    </cfRule>
  </conditionalFormatting>
  <conditionalFormatting sqref="DB16:DE16">
    <cfRule type="cellIs" dxfId="482" priority="1846" stopIfTrue="1" operator="equal">
      <formula>$A$30</formula>
    </cfRule>
    <cfRule type="cellIs" dxfId="481" priority="2055" stopIfTrue="1" operator="equal">
      <formula>$A$30</formula>
    </cfRule>
    <cfRule type="cellIs" dxfId="480" priority="2064" stopIfTrue="1" operator="equal">
      <formula>$A$30</formula>
    </cfRule>
  </conditionalFormatting>
  <conditionalFormatting sqref="DB16:DF16">
    <cfRule type="cellIs" dxfId="479" priority="2034" stopIfTrue="1" operator="equal">
      <formula>$A$30</formula>
    </cfRule>
  </conditionalFormatting>
  <conditionalFormatting sqref="DE17">
    <cfRule type="cellIs" dxfId="478" priority="1886" stopIfTrue="1" operator="equal">
      <formula>$A$30</formula>
    </cfRule>
    <cfRule type="cellIs" dxfId="477" priority="2061" stopIfTrue="1" operator="equal">
      <formula>$A$30</formula>
    </cfRule>
  </conditionalFormatting>
  <conditionalFormatting sqref="DF15:DF17">
    <cfRule type="cellIs" dxfId="476" priority="2023" stopIfTrue="1" operator="equal">
      <formula>$A$31</formula>
    </cfRule>
    <cfRule type="cellIs" dxfId="475" priority="2026" stopIfTrue="1" operator="equal">
      <formula>$A$31</formula>
    </cfRule>
  </conditionalFormatting>
  <conditionalFormatting sqref="DF16">
    <cfRule type="cellIs" dxfId="474" priority="2024" stopIfTrue="1" operator="equal">
      <formula>$A$30</formula>
    </cfRule>
  </conditionalFormatting>
  <conditionalFormatting sqref="DF16:DF17">
    <cfRule type="cellIs" dxfId="473" priority="1857" stopIfTrue="1" operator="equal">
      <formula>$A$30</formula>
    </cfRule>
    <cfRule type="cellIs" dxfId="472" priority="2030" stopIfTrue="1" operator="equal">
      <formula>$A$30</formula>
    </cfRule>
  </conditionalFormatting>
  <conditionalFormatting sqref="DG16">
    <cfRule type="cellIs" dxfId="471" priority="740" stopIfTrue="1" operator="equal">
      <formula>$A$30</formula>
    </cfRule>
  </conditionalFormatting>
  <conditionalFormatting sqref="DM1:EA1">
    <cfRule type="cellIs" dxfId="470" priority="604" stopIfTrue="1" operator="equal">
      <formula>$A$31</formula>
    </cfRule>
  </conditionalFormatting>
  <conditionalFormatting sqref="DM15:EK17">
    <cfRule type="cellIs" dxfId="469" priority="593" stopIfTrue="1" operator="equal">
      <formula>$A$31</formula>
    </cfRule>
  </conditionalFormatting>
  <conditionalFormatting sqref="EL15:EN17">
    <cfRule type="cellIs" dxfId="468" priority="480" stopIfTrue="1" operator="equal">
      <formula>$A$31</formula>
    </cfRule>
  </conditionalFormatting>
  <conditionalFormatting sqref="EP11:EQ11">
    <cfRule type="cellIs" dxfId="467" priority="317" stopIfTrue="1" operator="equal">
      <formula>$A$30</formula>
    </cfRule>
  </conditionalFormatting>
  <conditionalFormatting sqref="EP15:EQ16">
    <cfRule type="cellIs" dxfId="466" priority="306" stopIfTrue="1" operator="equal">
      <formula>$A$30</formula>
    </cfRule>
  </conditionalFormatting>
  <conditionalFormatting sqref="EP15:EQ17">
    <cfRule type="cellIs" dxfId="465" priority="315" stopIfTrue="1" operator="equal">
      <formula>$A$31</formula>
    </cfRule>
  </conditionalFormatting>
  <conditionalFormatting sqref="ER14:ES14">
    <cfRule type="cellIs" dxfId="464" priority="160" stopIfTrue="1" operator="equal">
      <formula>$A$31</formula>
    </cfRule>
  </conditionalFormatting>
  <conditionalFormatting sqref="ES11">
    <cfRule type="cellIs" dxfId="463" priority="154" stopIfTrue="1" operator="equal">
      <formula>$A$30</formula>
    </cfRule>
  </conditionalFormatting>
  <conditionalFormatting sqref="ES13">
    <cfRule type="cellIs" dxfId="462" priority="100" stopIfTrue="1" operator="equal">
      <formula>$A$31</formula>
    </cfRule>
  </conditionalFormatting>
  <conditionalFormatting sqref="ES15:ES16">
    <cfRule type="cellIs" dxfId="461" priority="143" stopIfTrue="1" operator="equal">
      <formula>$A$30</formula>
    </cfRule>
  </conditionalFormatting>
  <conditionalFormatting sqref="ES15:ES17">
    <cfRule type="cellIs" dxfId="460" priority="145" stopIfTrue="1" operator="equal">
      <formula>$A$31</formula>
    </cfRule>
  </conditionalFormatting>
  <conditionalFormatting sqref="ES16">
    <cfRule type="cellIs" dxfId="459" priority="146" stopIfTrue="1" operator="equal">
      <formula>$A$30</formula>
    </cfRule>
  </conditionalFormatting>
  <conditionalFormatting sqref="ES18">
    <cfRule type="cellIs" dxfId="458" priority="99" stopIfTrue="1" operator="equal">
      <formula>$A$31</formula>
    </cfRule>
  </conditionalFormatting>
  <conditionalFormatting sqref="ET13:EY14">
    <cfRule type="cellIs" dxfId="457" priority="17" stopIfTrue="1" operator="equal">
      <formula>$A$31</formula>
    </cfRule>
  </conditionalFormatting>
  <conditionalFormatting sqref="EU18:EY18">
    <cfRule type="cellIs" dxfId="456" priority="19" stopIfTrue="1" operator="equal">
      <formula>$A$31</formula>
    </cfRule>
  </conditionalFormatting>
  <conditionalFormatting sqref="EV11:EW11">
    <cfRule type="cellIs" dxfId="455" priority="49" stopIfTrue="1" operator="equal">
      <formula>$A$30</formula>
    </cfRule>
  </conditionalFormatting>
  <conditionalFormatting sqref="EX15:EY17">
    <cfRule type="cellIs" dxfId="454" priority="1" stopIfTrue="1" operator="equal">
      <formula>$A$31</formula>
    </cfRule>
  </conditionalFormatting>
  <conditionalFormatting sqref="I10:R10">
    <cfRule type="cellIs" dxfId="453" priority="3348" stopIfTrue="1" operator="equal">
      <formula>$B$30</formula>
    </cfRule>
  </conditionalFormatting>
  <conditionalFormatting sqref="AW9:AW12">
    <cfRule type="cellIs" dxfId="452" priority="3559" stopIfTrue="1" operator="equal">
      <formula>$A$31</formula>
    </cfRule>
    <cfRule type="cellIs" dxfId="451" priority="3560" stopIfTrue="1" operator="equal">
      <formula>$A$31</formula>
    </cfRule>
    <cfRule type="cellIs" dxfId="450" priority="3561" stopIfTrue="1" operator="equal">
      <formula>$A$31</formula>
    </cfRule>
    <cfRule type="cellIs" dxfId="449" priority="3562" stopIfTrue="1" operator="equal">
      <formula>$A$31</formula>
    </cfRule>
    <cfRule type="cellIs" dxfId="448" priority="3563" stopIfTrue="1" operator="equal">
      <formula>$A$31</formula>
    </cfRule>
    <cfRule type="cellIs" dxfId="447" priority="3564" stopIfTrue="1" operator="equal">
      <formula>$A$31</formula>
    </cfRule>
    <cfRule type="cellIs" dxfId="446" priority="3565" stopIfTrue="1" operator="equal">
      <formula>$A$31</formula>
    </cfRule>
    <cfRule type="cellIs" dxfId="445" priority="3566" stopIfTrue="1" operator="equal">
      <formula>$A$31</formula>
    </cfRule>
    <cfRule type="cellIs" dxfId="444" priority="3567" stopIfTrue="1" operator="equal">
      <formula>$A$31</formula>
    </cfRule>
    <cfRule type="cellIs" dxfId="443" priority="3568" stopIfTrue="1" operator="equal">
      <formula>$A$31</formula>
    </cfRule>
    <cfRule type="cellIs" dxfId="442" priority="3569" stopIfTrue="1" operator="equal">
      <formula>$A$31</formula>
    </cfRule>
    <cfRule type="cellIs" dxfId="441" priority="3570" stopIfTrue="1" operator="equal">
      <formula>$A$31</formula>
    </cfRule>
    <cfRule type="cellIs" dxfId="440" priority="3571" stopIfTrue="1" operator="equal">
      <formula>$A$31</formula>
    </cfRule>
    <cfRule type="cellIs" dxfId="43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Y27"/>
  <sheetViews>
    <sheetView zoomScale="80" zoomScaleNormal="80" workbookViewId="0">
      <pane xSplit="1" topLeftCell="BU1" activePane="topRight" state="frozen"/>
      <selection pane="topRight" activeCell="CQ12" sqref="CQ12"/>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5" ht="13.5" thickBot="1">
      <c r="A1" s="8">
        <v>4</v>
      </c>
      <c r="DF1" s="30" t="s">
        <v>408</v>
      </c>
    </row>
    <row r="2" spans="1:155">
      <c r="A2">
        <f>Criterios!C8</f>
        <v>0</v>
      </c>
      <c r="B2">
        <f>Criterios!B8</f>
        <v>0</v>
      </c>
    </row>
    <row r="3" spans="1:155" ht="13.5" thickBot="1">
      <c r="A3" t="str">
        <f>Criterios!A9</f>
        <v>Tribunales de Justicia</v>
      </c>
      <c r="B3" t="str">
        <f>Criterios!B9</f>
        <v>ASTURIAS</v>
      </c>
    </row>
    <row r="4" spans="1:155" ht="13.5" thickBot="1">
      <c r="A4" t="str">
        <f>Criterios!A10</f>
        <v>Provincias</v>
      </c>
      <c r="B4" t="str">
        <f>Criterios!B10</f>
        <v>ASTURIAS</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387</v>
      </c>
      <c r="BN5" s="1245"/>
      <c r="BO5" s="1246"/>
      <c r="BP5" s="1245"/>
      <c r="BQ5" s="1246"/>
      <c r="BR5" s="1245"/>
      <c r="BS5" s="1246"/>
      <c r="BT5" s="1245"/>
      <c r="BU5" s="1246"/>
      <c r="BV5" s="1412" t="s">
        <v>272</v>
      </c>
      <c r="BW5" s="1481" t="s">
        <v>252</v>
      </c>
      <c r="BX5" s="1481"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456</v>
      </c>
      <c r="CL5" s="1382" t="s">
        <v>457</v>
      </c>
      <c r="CM5" s="1382" t="s">
        <v>458</v>
      </c>
      <c r="CN5" s="1463" t="s">
        <v>370</v>
      </c>
      <c r="CO5" s="1463" t="s">
        <v>363</v>
      </c>
      <c r="CP5" s="1463" t="s">
        <v>369</v>
      </c>
      <c r="CQ5" s="1478" t="s">
        <v>368</v>
      </c>
      <c r="CR5" s="1478" t="s">
        <v>42</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479</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620</v>
      </c>
      <c r="ED5" s="1389" t="s">
        <v>590</v>
      </c>
      <c r="EE5" s="1389" t="s">
        <v>623</v>
      </c>
      <c r="EF5" s="1389" t="s">
        <v>624</v>
      </c>
      <c r="EG5" s="1358" t="s">
        <v>625</v>
      </c>
      <c r="EH5" s="1358" t="s">
        <v>626</v>
      </c>
      <c r="EI5" s="1358" t="s">
        <v>592</v>
      </c>
      <c r="EJ5" s="1358" t="s">
        <v>593</v>
      </c>
      <c r="EK5" s="1484" t="s">
        <v>670</v>
      </c>
      <c r="EL5" s="1376" t="s">
        <v>686</v>
      </c>
      <c r="EM5" s="1377"/>
      <c r="EN5" s="1378"/>
      <c r="EO5" s="1370" t="s">
        <v>743</v>
      </c>
      <c r="EP5" s="1370" t="s">
        <v>745</v>
      </c>
      <c r="EQ5" s="1370" t="s">
        <v>746</v>
      </c>
      <c r="ER5" s="1370" t="s">
        <v>751</v>
      </c>
      <c r="ES5" s="1370" t="s">
        <v>756</v>
      </c>
      <c r="ET5" s="1367" t="s">
        <v>820</v>
      </c>
      <c r="EU5" s="1367" t="s">
        <v>821</v>
      </c>
      <c r="EV5" s="1395" t="s">
        <v>837</v>
      </c>
      <c r="EW5" s="1358" t="s">
        <v>840</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c r="BO6" s="1243"/>
      <c r="BP6" s="1243"/>
      <c r="BQ6" s="1243"/>
      <c r="BR6" s="1243"/>
      <c r="BS6" s="1243"/>
      <c r="BT6" s="1243"/>
      <c r="BU6" s="1243"/>
      <c r="BV6" s="1413"/>
      <c r="BW6" s="1482"/>
      <c r="BX6" s="1482"/>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485"/>
      <c r="EL6" s="1379"/>
      <c r="EM6" s="1380"/>
      <c r="EN6" s="1381"/>
      <c r="EO6" s="1371"/>
      <c r="EP6" s="1371"/>
      <c r="EQ6" s="1371"/>
      <c r="ER6" s="1371"/>
      <c r="ES6" s="1371"/>
      <c r="ET6" s="1368"/>
      <c r="EU6" s="1368"/>
      <c r="EV6" s="1396"/>
      <c r="EW6" s="1359"/>
      <c r="EX6" s="1473"/>
      <c r="EY6" s="1467"/>
    </row>
    <row r="7" spans="1:155" ht="87" customHeight="1" thickBot="1">
      <c r="A7" s="69" t="s">
        <v>742</v>
      </c>
      <c r="B7" s="1426"/>
      <c r="C7" s="1429"/>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83"/>
      <c r="BX7" s="1483"/>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486"/>
      <c r="EL7" s="639" t="s">
        <v>687</v>
      </c>
      <c r="EM7" s="639" t="s">
        <v>95</v>
      </c>
      <c r="EN7" s="639" t="s">
        <v>96</v>
      </c>
      <c r="EO7" s="1372"/>
      <c r="EP7" s="1372"/>
      <c r="EQ7" s="1372"/>
      <c r="ER7" s="1372"/>
      <c r="ES7" s="1372"/>
      <c r="ET7" s="1369"/>
      <c r="EU7" s="1369"/>
      <c r="EV7" s="1397"/>
      <c r="EW7" s="1360"/>
      <c r="EX7" s="1474"/>
      <c r="EY7" s="1468"/>
    </row>
    <row r="8" spans="1:155"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row>
    <row r="9" spans="1:155"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row>
    <row r="10" spans="1:155"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row>
    <row r="11" spans="1:155"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row>
    <row r="12" spans="1:155"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row>
    <row r="13" spans="1:155"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row>
    <row r="14" spans="1:155"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row>
    <row r="16" spans="1:155"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row>
    <row r="17" spans="1:155"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row>
    <row r="18" spans="1:155"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Eb5lcBm6aK29Sn+ADSmi8gNG4HiQhFbGJkhj7qdG8s0nBYuq16RigHIPD4sUa6L6dhbt0Yxr8RQ0H491QdbHNg==" saltValue="/V+9xkqJauxK5RFXL8v54Q==" spinCount="100000" sheet="1" objects="1" scenarios="1"/>
  <mergeCells count="123">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8" priority="631" stopIfTrue="1" operator="equal">
      <formula>$A$30</formula>
    </cfRule>
  </conditionalFormatting>
  <conditionalFormatting sqref="I13:BC14 I18:BC18 BH18:EQ18 I19:EQ19 EW19:EY19">
    <cfRule type="cellIs" dxfId="437" priority="1865" stopIfTrue="1" operator="equal">
      <formula>$A$31</formula>
    </cfRule>
  </conditionalFormatting>
  <conditionalFormatting sqref="I8:EY8">
    <cfRule type="cellIs" dxfId="436" priority="22"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Y12">
    <cfRule type="cellIs" dxfId="435" priority="413" stopIfTrue="1" operator="equal">
      <formula>$A$31</formula>
    </cfRule>
  </conditionalFormatting>
  <conditionalFormatting sqref="AR9:AX9">
    <cfRule type="cellIs" dxfId="434" priority="698" stopIfTrue="1" operator="equal">
      <formula>$A$31</formula>
    </cfRule>
  </conditionalFormatting>
  <conditionalFormatting sqref="AS15:AX17 AS10:AX12">
    <cfRule type="cellIs" dxfId="433" priority="636" stopIfTrue="1" operator="equal">
      <formula>$A$29</formula>
    </cfRule>
  </conditionalFormatting>
  <conditionalFormatting sqref="BD14:BG14">
    <cfRule type="cellIs" dxfId="432" priority="2171" stopIfTrue="1" operator="equal">
      <formula>$A$31</formula>
    </cfRule>
  </conditionalFormatting>
  <conditionalFormatting sqref="BH9:BI9">
    <cfRule type="cellIs" dxfId="431" priority="727" stopIfTrue="1" operator="equal">
      <formula>$A$31</formula>
    </cfRule>
  </conditionalFormatting>
  <conditionalFormatting sqref="BH15:BI15">
    <cfRule type="cellIs" dxfId="430" priority="689" stopIfTrue="1" operator="equal">
      <formula>$A$31</formula>
    </cfRule>
  </conditionalFormatting>
  <conditionalFormatting sqref="BH13:EQ14">
    <cfRule type="cellIs" dxfId="429" priority="273" stopIfTrue="1" operator="equal">
      <formula>$A$31</formula>
    </cfRule>
  </conditionalFormatting>
  <conditionalFormatting sqref="BK12:CJ12">
    <cfRule type="cellIs" dxfId="428" priority="2170" stopIfTrue="1" operator="equal">
      <formula>$A$31</formula>
    </cfRule>
  </conditionalFormatting>
  <conditionalFormatting sqref="BV15">
    <cfRule type="cellIs" dxfId="427" priority="626" stopIfTrue="1" operator="equal">
      <formula>$A$30</formula>
    </cfRule>
  </conditionalFormatting>
  <conditionalFormatting sqref="BY17">
    <cfRule type="cellIs" dxfId="426" priority="622" stopIfTrue="1" operator="equal">
      <formula>$A$30</formula>
    </cfRule>
  </conditionalFormatting>
  <conditionalFormatting sqref="CO11">
    <cfRule type="cellIs" dxfId="425" priority="2172" stopIfTrue="1" operator="equal">
      <formula>$A$30</formula>
    </cfRule>
  </conditionalFormatting>
  <conditionalFormatting sqref="DB15">
    <cfRule type="cellIs" dxfId="424" priority="685" stopIfTrue="1" operator="equal">
      <formula>$A$30</formula>
    </cfRule>
  </conditionalFormatting>
  <conditionalFormatting sqref="DB16:DE16">
    <cfRule type="cellIs" dxfId="423" priority="686" stopIfTrue="1" operator="equal">
      <formula>$A$30</formula>
    </cfRule>
  </conditionalFormatting>
  <conditionalFormatting sqref="DC15:DC16">
    <cfRule type="cellIs" dxfId="422" priority="668" stopIfTrue="1" operator="equal">
      <formula>$A$30</formula>
    </cfRule>
  </conditionalFormatting>
  <conditionalFormatting sqref="DE17">
    <cfRule type="cellIs" dxfId="421" priority="684" stopIfTrue="1" operator="equal">
      <formula>$A$30</formula>
    </cfRule>
  </conditionalFormatting>
  <conditionalFormatting sqref="DF1">
    <cfRule type="cellIs" dxfId="420" priority="1987" stopIfTrue="1" operator="equal">
      <formula>$A$31</formula>
    </cfRule>
  </conditionalFormatting>
  <conditionalFormatting sqref="DF16:DF17">
    <cfRule type="cellIs" dxfId="419" priority="671" stopIfTrue="1" operator="equal">
      <formula>$A$30</formula>
    </cfRule>
  </conditionalFormatting>
  <conditionalFormatting sqref="DG11">
    <cfRule type="cellIs" dxfId="418" priority="696" stopIfTrue="1" operator="equal">
      <formula>$A$30</formula>
    </cfRule>
  </conditionalFormatting>
  <conditionalFormatting sqref="DG15:DG17">
    <cfRule type="cellIs" dxfId="417" priority="634" stopIfTrue="1" operator="equal">
      <formula>$A$31</formula>
    </cfRule>
  </conditionalFormatting>
  <conditionalFormatting sqref="DG16">
    <cfRule type="cellIs" dxfId="416" priority="635" stopIfTrue="1" operator="equal">
      <formula>$A$30</formula>
    </cfRule>
  </conditionalFormatting>
  <conditionalFormatting sqref="DM15:EA17">
    <cfRule type="cellIs" dxfId="415" priority="471" stopIfTrue="1" operator="equal">
      <formula>$A$31</formula>
    </cfRule>
  </conditionalFormatting>
  <conditionalFormatting sqref="EH15:EK17">
    <cfRule type="cellIs" dxfId="414" priority="525" stopIfTrue="1" operator="equal">
      <formula>$A$31</formula>
    </cfRule>
  </conditionalFormatting>
  <conditionalFormatting sqref="EL15:EN17">
    <cfRule type="cellIs" dxfId="413" priority="417" stopIfTrue="1" operator="equal">
      <formula>$A$31</formula>
    </cfRule>
  </conditionalFormatting>
  <conditionalFormatting sqref="EO15:EQ16">
    <cfRule type="cellIs" dxfId="412" priority="263" stopIfTrue="1" operator="equal">
      <formula>$A$30</formula>
    </cfRule>
  </conditionalFormatting>
  <conditionalFormatting sqref="EO15:EQ17">
    <cfRule type="cellIs" dxfId="411" priority="272" stopIfTrue="1" operator="equal">
      <formula>$A$31</formula>
    </cfRule>
  </conditionalFormatting>
  <conditionalFormatting sqref="EO16:EQ16">
    <cfRule type="cellIs" dxfId="410" priority="274" stopIfTrue="1" operator="equal">
      <formula>$A$30</formula>
    </cfRule>
  </conditionalFormatting>
  <conditionalFormatting sqref="ER14:EY14">
    <cfRule type="cellIs" dxfId="409" priority="17" stopIfTrue="1" operator="equal">
      <formula>$A$31</formula>
    </cfRule>
  </conditionalFormatting>
  <conditionalFormatting sqref="ES11">
    <cfRule type="cellIs" dxfId="408" priority="167" stopIfTrue="1" operator="equal">
      <formula>$A$30</formula>
    </cfRule>
  </conditionalFormatting>
  <conditionalFormatting sqref="ES15:ES16">
    <cfRule type="cellIs" dxfId="407" priority="156" stopIfTrue="1" operator="equal">
      <formula>$A$30</formula>
    </cfRule>
  </conditionalFormatting>
  <conditionalFormatting sqref="ES15:ES17">
    <cfRule type="cellIs" dxfId="406" priority="158" stopIfTrue="1" operator="equal">
      <formula>$A$31</formula>
    </cfRule>
  </conditionalFormatting>
  <conditionalFormatting sqref="ES16">
    <cfRule type="cellIs" dxfId="405" priority="159" stopIfTrue="1" operator="equal">
      <formula>$A$30</formula>
    </cfRule>
  </conditionalFormatting>
  <conditionalFormatting sqref="ES18">
    <cfRule type="cellIs" dxfId="404" priority="112" stopIfTrue="1" operator="equal">
      <formula>$A$31</formula>
    </cfRule>
  </conditionalFormatting>
  <conditionalFormatting sqref="ES13:EY13">
    <cfRule type="cellIs" dxfId="403" priority="21" stopIfTrue="1" operator="equal">
      <formula>$A$31</formula>
    </cfRule>
  </conditionalFormatting>
  <conditionalFormatting sqref="EU18:EY18">
    <cfRule type="cellIs" dxfId="402" priority="19" stopIfTrue="1" operator="equal">
      <formula>$A$31</formula>
    </cfRule>
  </conditionalFormatting>
  <conditionalFormatting sqref="EV11">
    <cfRule type="cellIs" dxfId="401" priority="69" stopIfTrue="1" operator="equal">
      <formula>$A$30</formula>
    </cfRule>
  </conditionalFormatting>
  <conditionalFormatting sqref="EW15:EY17">
    <cfRule type="cellIs" dxfId="400" priority="1"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V32"/>
  <sheetViews>
    <sheetView topLeftCell="C1" zoomScale="85" zoomScaleNormal="85" workbookViewId="0">
      <selection activeCell="I18" sqref="I18"/>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16384" width="11.42578125" style="471"/>
  </cols>
  <sheetData>
    <row r="1" spans="1:74">
      <c r="C1" s="1104" t="str">
        <f>Criterios!A9 &amp;"  "&amp;Criterios!B9</f>
        <v>Tribunales de Justicia  ASTURIAS</v>
      </c>
    </row>
    <row r="2" spans="1:74" ht="16.5" customHeight="1">
      <c r="C2" s="488" t="str">
        <f>Criterios!A10 &amp;"  "&amp;Criterios!B10 &amp; "  " &amp; IF(NOT(ISBLANK(Criterios!A11)),Criterios!A11 &amp;"  "&amp;Criterios!B11,"")</f>
        <v>Provincias  ASTURIAS  Resumenes por Partidos Judiciales  TINEO</v>
      </c>
      <c r="D2" s="488"/>
      <c r="E2" s="489"/>
      <c r="F2" s="489"/>
      <c r="G2" s="490"/>
      <c r="I2" s="489"/>
      <c r="J2" s="262"/>
      <c r="K2" s="262"/>
      <c r="L2" s="489"/>
      <c r="M2" s="489"/>
      <c r="N2" s="489"/>
      <c r="O2" s="582"/>
      <c r="P2" s="582"/>
      <c r="Q2" s="489"/>
      <c r="U2" s="489"/>
      <c r="V2" s="491"/>
      <c r="Y2" s="604"/>
    </row>
    <row r="3" spans="1:74" ht="30" customHeight="1">
      <c r="C3" s="654"/>
      <c r="D3" s="493"/>
      <c r="G3" s="490"/>
      <c r="I3" s="489"/>
    </row>
    <row r="4" spans="1:74"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row>
    <row r="5" spans="1:74" ht="15.75" customHeight="1">
      <c r="A5" s="1283" t="s">
        <v>351</v>
      </c>
      <c r="B5" s="272"/>
      <c r="C5" s="1517" t="str">
        <f>"Año:  " &amp;Criterios!B$5 &amp; "          Trimestre   " &amp;Criterios!D$5 &amp; " al " &amp;Criterios!D$6</f>
        <v>Año:  2024          Trimestre   1 al 1</v>
      </c>
      <c r="D5" s="1490" t="s">
        <v>376</v>
      </c>
      <c r="E5" s="1490" t="s">
        <v>560</v>
      </c>
      <c r="F5" s="1519" t="s">
        <v>406</v>
      </c>
      <c r="G5" s="1490" t="s">
        <v>128</v>
      </c>
      <c r="H5" s="1490" t="s">
        <v>590</v>
      </c>
      <c r="I5" s="1490" t="s">
        <v>561</v>
      </c>
      <c r="J5" s="1490" t="s">
        <v>664</v>
      </c>
      <c r="K5" s="1490" t="s">
        <v>665</v>
      </c>
      <c r="L5" s="1490" t="s">
        <v>562</v>
      </c>
      <c r="M5" s="1490" t="s">
        <v>530</v>
      </c>
      <c r="N5" s="1490" t="s">
        <v>666</v>
      </c>
      <c r="O5" s="1522" t="s">
        <v>588</v>
      </c>
      <c r="P5" s="1490" t="s">
        <v>684</v>
      </c>
      <c r="Q5" s="1490" t="s">
        <v>679</v>
      </c>
      <c r="R5" s="1490" t="s">
        <v>168</v>
      </c>
      <c r="S5" s="1525" t="s">
        <v>676</v>
      </c>
      <c r="T5" s="1525" t="s">
        <v>678</v>
      </c>
      <c r="U5" s="1490" t="s">
        <v>591</v>
      </c>
      <c r="V5" s="1525" t="s">
        <v>563</v>
      </c>
      <c r="W5" s="1490" t="s">
        <v>770</v>
      </c>
      <c r="X5" s="1490" t="s">
        <v>771</v>
      </c>
      <c r="Y5" s="1493" t="s">
        <v>667</v>
      </c>
      <c r="Z5" s="1508" t="s">
        <v>613</v>
      </c>
      <c r="AA5" s="1511" t="s">
        <v>564</v>
      </c>
      <c r="AB5" s="1508" t="s">
        <v>565</v>
      </c>
      <c r="AC5" s="1508" t="s">
        <v>566</v>
      </c>
      <c r="AD5" s="1487" t="s">
        <v>668</v>
      </c>
      <c r="AE5" s="1487" t="s">
        <v>798</v>
      </c>
      <c r="AF5" s="1490" t="s">
        <v>680</v>
      </c>
      <c r="AG5" s="1490" t="s">
        <v>531</v>
      </c>
      <c r="AH5" s="1490" t="s">
        <v>669</v>
      </c>
      <c r="AI5" s="1490" t="s">
        <v>179</v>
      </c>
      <c r="AJ5" s="1490" t="s">
        <v>734</v>
      </c>
      <c r="AK5" s="1490" t="s">
        <v>532</v>
      </c>
      <c r="AL5" s="1490" t="s">
        <v>533</v>
      </c>
      <c r="AM5" s="1490" t="s">
        <v>685</v>
      </c>
      <c r="AN5" s="1490" t="s">
        <v>534</v>
      </c>
      <c r="AO5" s="1490" t="s">
        <v>535</v>
      </c>
      <c r="AP5" s="1490" t="s">
        <v>536</v>
      </c>
      <c r="AQ5" s="1490" t="s">
        <v>537</v>
      </c>
      <c r="AR5" s="1490" t="s">
        <v>670</v>
      </c>
      <c r="AS5" s="1490" t="s">
        <v>182</v>
      </c>
      <c r="AT5" s="1496" t="s">
        <v>180</v>
      </c>
      <c r="AU5" s="1490" t="s">
        <v>681</v>
      </c>
      <c r="AV5" s="1499" t="s">
        <v>682</v>
      </c>
      <c r="AW5" s="1502" t="s">
        <v>539</v>
      </c>
      <c r="AX5" s="1490" t="s">
        <v>540</v>
      </c>
      <c r="AY5" s="1490" t="s">
        <v>611</v>
      </c>
      <c r="AZ5" s="1505" t="s">
        <v>612</v>
      </c>
      <c r="BA5" s="1490" t="s">
        <v>568</v>
      </c>
      <c r="BB5" s="1499" t="s">
        <v>569</v>
      </c>
      <c r="BC5" s="1502" t="s">
        <v>183</v>
      </c>
      <c r="BD5" s="1490" t="s">
        <v>570</v>
      </c>
      <c r="BE5" s="1490" t="s">
        <v>247</v>
      </c>
      <c r="BF5" s="1490" t="s">
        <v>248</v>
      </c>
      <c r="BG5" s="1490" t="s">
        <v>249</v>
      </c>
      <c r="BH5" s="1490" t="s">
        <v>571</v>
      </c>
      <c r="BI5" s="1490" t="s">
        <v>250</v>
      </c>
      <c r="BJ5" s="1490" t="s">
        <v>572</v>
      </c>
      <c r="BK5" s="1490" t="s">
        <v>586</v>
      </c>
      <c r="BL5" s="1490" t="s">
        <v>573</v>
      </c>
      <c r="BM5" s="1490" t="s">
        <v>574</v>
      </c>
      <c r="BN5" s="1490" t="s">
        <v>599</v>
      </c>
      <c r="BO5" s="1490" t="s">
        <v>592</v>
      </c>
      <c r="BP5" s="1490" t="s">
        <v>838</v>
      </c>
      <c r="BQ5" s="1490" t="s">
        <v>841</v>
      </c>
      <c r="BR5" s="1490" t="s">
        <v>843</v>
      </c>
      <c r="BS5" s="1490" t="s">
        <v>593</v>
      </c>
      <c r="BT5" s="1490" t="s">
        <v>575</v>
      </c>
      <c r="BU5" s="1490" t="s">
        <v>538</v>
      </c>
      <c r="BV5" s="1514" t="s">
        <v>772</v>
      </c>
    </row>
    <row r="6" spans="1:74" ht="21.75" customHeight="1">
      <c r="A6" s="1284"/>
      <c r="B6" s="273"/>
      <c r="C6" s="1518"/>
      <c r="D6" s="1491"/>
      <c r="E6" s="1491"/>
      <c r="F6" s="1520"/>
      <c r="G6" s="1491"/>
      <c r="H6" s="1491"/>
      <c r="I6" s="1491"/>
      <c r="J6" s="1491"/>
      <c r="K6" s="1491"/>
      <c r="L6" s="1491"/>
      <c r="M6" s="1491"/>
      <c r="N6" s="1491"/>
      <c r="O6" s="1523"/>
      <c r="P6" s="1491"/>
      <c r="Q6" s="1491"/>
      <c r="R6" s="1491"/>
      <c r="S6" s="1526"/>
      <c r="T6" s="1526"/>
      <c r="U6" s="1491"/>
      <c r="V6" s="1526"/>
      <c r="W6" s="1491"/>
      <c r="X6" s="1491"/>
      <c r="Y6" s="1494"/>
      <c r="Z6" s="1509"/>
      <c r="AA6" s="1512"/>
      <c r="AB6" s="1509"/>
      <c r="AC6" s="1509"/>
      <c r="AD6" s="1488"/>
      <c r="AE6" s="1488"/>
      <c r="AF6" s="1491"/>
      <c r="AG6" s="1491"/>
      <c r="AH6" s="1491"/>
      <c r="AI6" s="1491"/>
      <c r="AJ6" s="1491"/>
      <c r="AK6" s="1491"/>
      <c r="AL6" s="1491"/>
      <c r="AM6" s="1491"/>
      <c r="AN6" s="1491"/>
      <c r="AO6" s="1491"/>
      <c r="AP6" s="1491"/>
      <c r="AQ6" s="1491"/>
      <c r="AR6" s="1491"/>
      <c r="AS6" s="1491"/>
      <c r="AT6" s="1497"/>
      <c r="AU6" s="1491"/>
      <c r="AV6" s="1500"/>
      <c r="AW6" s="1503"/>
      <c r="AX6" s="1491"/>
      <c r="AY6" s="1491"/>
      <c r="AZ6" s="1506"/>
      <c r="BA6" s="1491"/>
      <c r="BB6" s="1500"/>
      <c r="BC6" s="1503"/>
      <c r="BD6" s="1491"/>
      <c r="BE6" s="1491"/>
      <c r="BF6" s="1491"/>
      <c r="BG6" s="1491"/>
      <c r="BH6" s="1491"/>
      <c r="BI6" s="1491"/>
      <c r="BJ6" s="1491"/>
      <c r="BK6" s="1491"/>
      <c r="BL6" s="1491"/>
      <c r="BM6" s="1491"/>
      <c r="BN6" s="1491"/>
      <c r="BO6" s="1491"/>
      <c r="BP6" s="1491"/>
      <c r="BQ6" s="1491"/>
      <c r="BR6" s="1491"/>
      <c r="BS6" s="1491"/>
      <c r="BT6" s="1491"/>
      <c r="BU6" s="1491"/>
      <c r="BV6" s="1515"/>
    </row>
    <row r="7" spans="1:74" ht="38.25" customHeight="1" thickBot="1">
      <c r="A7" s="1285"/>
      <c r="B7" s="274"/>
      <c r="C7" s="264" t="str">
        <f>Datos!A7</f>
        <v>COMPETENCIAS</v>
      </c>
      <c r="D7" s="1492"/>
      <c r="E7" s="1492"/>
      <c r="F7" s="1521"/>
      <c r="G7" s="1492"/>
      <c r="H7" s="1492"/>
      <c r="I7" s="1492"/>
      <c r="J7" s="1492"/>
      <c r="K7" s="1492"/>
      <c r="L7" s="1492"/>
      <c r="M7" s="1492"/>
      <c r="N7" s="1492"/>
      <c r="O7" s="1524"/>
      <c r="P7" s="1492"/>
      <c r="Q7" s="1492"/>
      <c r="R7" s="1492"/>
      <c r="S7" s="1527"/>
      <c r="T7" s="1527"/>
      <c r="U7" s="1492"/>
      <c r="V7" s="1527"/>
      <c r="W7" s="1492"/>
      <c r="X7" s="1492"/>
      <c r="Y7" s="1495"/>
      <c r="Z7" s="1510"/>
      <c r="AA7" s="1513"/>
      <c r="AB7" s="1510"/>
      <c r="AC7" s="1510"/>
      <c r="AD7" s="1489"/>
      <c r="AE7" s="1489"/>
      <c r="AF7" s="1492"/>
      <c r="AG7" s="1492"/>
      <c r="AH7" s="1492"/>
      <c r="AI7" s="1492"/>
      <c r="AJ7" s="1492"/>
      <c r="AK7" s="1492"/>
      <c r="AL7" s="1492"/>
      <c r="AM7" s="1492"/>
      <c r="AN7" s="1492"/>
      <c r="AO7" s="1492"/>
      <c r="AP7" s="1492"/>
      <c r="AQ7" s="1492"/>
      <c r="AR7" s="1492"/>
      <c r="AS7" s="1492"/>
      <c r="AT7" s="1498"/>
      <c r="AU7" s="1492"/>
      <c r="AV7" s="1501"/>
      <c r="AW7" s="1504"/>
      <c r="AX7" s="1492"/>
      <c r="AY7" s="1492"/>
      <c r="AZ7" s="1507"/>
      <c r="BA7" s="1492"/>
      <c r="BB7" s="1501"/>
      <c r="BC7" s="1504"/>
      <c r="BD7" s="1492"/>
      <c r="BE7" s="1492"/>
      <c r="BF7" s="1492"/>
      <c r="BG7" s="1492"/>
      <c r="BH7" s="1492"/>
      <c r="BI7" s="1492"/>
      <c r="BJ7" s="1492"/>
      <c r="BK7" s="1492"/>
      <c r="BL7" s="1492"/>
      <c r="BM7" s="1492"/>
      <c r="BN7" s="1492"/>
      <c r="BO7" s="1492"/>
      <c r="BP7" s="1492"/>
      <c r="BQ7" s="1492"/>
      <c r="BR7" s="1492"/>
      <c r="BS7" s="1492"/>
      <c r="BT7" s="1492"/>
      <c r="BU7" s="1492"/>
      <c r="BV7" s="1516"/>
    </row>
    <row r="8" spans="1:74"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4"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row>
    <row r="10" spans="1:74" ht="14.25">
      <c r="A10" s="501">
        <f>Datos!AO10</f>
        <v>1</v>
      </c>
      <c r="B10" s="507" t="s">
        <v>246</v>
      </c>
      <c r="C10" s="7" t="str">
        <f>Datos!A10</f>
        <v>Jdos. Violencia contra la mujer</v>
      </c>
      <c r="D10" s="508"/>
      <c r="E10" s="260">
        <f>IF(ISNUMBER(Datos!AQ10),Datos!AQ10," - ")</f>
        <v>0</v>
      </c>
      <c r="F10" s="225">
        <f>IF(ISNUMBER(Datos!L10+Datos!K10-Datos!J10),Datos!L10+Datos!K10-Datos!J10," - ")</f>
        <v>2</v>
      </c>
      <c r="G10" s="333">
        <f>IF(ISNUMBER(Datos!I10),Datos!I10," - ")</f>
        <v>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v>
      </c>
      <c r="AC10" s="226">
        <f>IF(ISNUMBER(Datos!Q10),Datos!Q10," - ")</f>
        <v>0</v>
      </c>
      <c r="AD10" s="334"/>
      <c r="AE10" s="484"/>
      <c r="AF10" s="332">
        <f>IF(ISNUMBER(Datos!L10),Datos!L10,"-")</f>
        <v>1</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2</v>
      </c>
      <c r="BH10" s="260">
        <f>IF(ISNUMBER(((Datos!L10/Datos!K10)*11)/factor_trimestre),((Datos!L10/Datos!K10)*11)/factor_trimestre," - ")</f>
        <v>1.5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row>
    <row r="11" spans="1:74"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row>
    <row r="12" spans="1:74"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7</v>
      </c>
      <c r="O12" s="334"/>
      <c r="P12" s="334"/>
      <c r="Q12" s="226">
        <f>IF(ISNUMBER(Datos!P12),Datos!P12,0)</f>
        <v>23</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11</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7</v>
      </c>
      <c r="AI12" s="334" t="str">
        <f>IF(ISNUMBER(Datos!CD12),Datos!CD12,"-")</f>
        <v>-</v>
      </c>
      <c r="AJ12" s="334" t="str">
        <f>IF(ISNUMBER(Datos!EN12),Datos!EN12," - ")</f>
        <v xml:space="preserve"> - </v>
      </c>
      <c r="AK12" s="334"/>
      <c r="AL12" s="479"/>
      <c r="AM12" s="335">
        <f>IF(ISNUMBER(Datos!R12),Datos!R12," - ")</f>
        <v>462</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19</v>
      </c>
      <c r="BD12" s="229">
        <f>IF(ISNUMBER(Datos!N12),Datos!N12," - ")</f>
        <v>52</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1.0097087378640777</v>
      </c>
      <c r="BH12" s="260">
        <f>IF(ISNUMBER(((IF(J_V="SI",Datos!L12/Datos!K12,(Datos!L12+Datos!AB12)/(Datos!K12+Datos!AA12)))*11)/factor_trimestre),((IF(J_V="SI",Datos!L12/Datos!K12,(Datos!L12+Datos!AB12)/(Datos!K12+Datos!AA12)))*11)/factor_trimestre," - ")</f>
        <v>9</v>
      </c>
      <c r="BI12" s="243"/>
      <c r="BJ12" s="230" t="str">
        <f>IF(ISNUMBER(Datos!CI12/Datos!CJ12),Datos!CI12/Datos!CJ12," - ")</f>
        <v xml:space="preserve"> - </v>
      </c>
      <c r="BK12" s="360" t="str">
        <f>IF(ISNUMBER(Datos!CJ12),Datos!CJ12," - ")</f>
        <v xml:space="preserve"> - </v>
      </c>
      <c r="BL12" s="230" t="str">
        <f>IF(ISNUMBER((J12-AB12+L12)/(F12)),(J12-AB12+L12)/(F12)," - ")</f>
        <v xml:space="preserve"> - </v>
      </c>
      <c r="BM12" s="611">
        <f>IF(ISNUMBER((Datos!P12-Datos!Q12+Datos!DE12)/(Datos!R12-Datos!P12+Datos!Q12-Datos!DE12)),(Datos!P12-Datos!Q12+Datos!DE12)/(Datos!R12-Datos!P12+Datos!Q12-Datos!DE12)," - ")</f>
        <v>2.6666666666666668E-2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row>
    <row r="13" spans="1:74" ht="15.75" thickTop="1" thickBot="1">
      <c r="A13" s="178"/>
      <c r="B13" s="178"/>
      <c r="C13" s="863" t="str">
        <f>Datos!A13</f>
        <v>TOTAL</v>
      </c>
      <c r="D13" s="897"/>
      <c r="E13" s="1164">
        <f t="shared" ref="E13:Z13" si="0">SUBTOTAL(9,E8:E12)</f>
        <v>1</v>
      </c>
      <c r="F13" s="898">
        <f t="shared" si="0"/>
        <v>2</v>
      </c>
      <c r="G13" s="898">
        <f t="shared" si="0"/>
        <v>2</v>
      </c>
      <c r="H13" s="899">
        <f t="shared" si="0"/>
        <v>0</v>
      </c>
      <c r="I13" s="898">
        <f t="shared" si="0"/>
        <v>0</v>
      </c>
      <c r="J13" s="867">
        <f t="shared" si="0"/>
        <v>0</v>
      </c>
      <c r="K13" s="867">
        <f t="shared" si="0"/>
        <v>0</v>
      </c>
      <c r="L13" s="899">
        <f t="shared" si="0"/>
        <v>0</v>
      </c>
      <c r="M13" s="899">
        <f t="shared" si="0"/>
        <v>0</v>
      </c>
      <c r="N13" s="899">
        <f t="shared" si="0"/>
        <v>7</v>
      </c>
      <c r="O13" s="900">
        <f t="shared" si="0"/>
        <v>0</v>
      </c>
      <c r="P13" s="900">
        <f t="shared" si="0"/>
        <v>0</v>
      </c>
      <c r="Q13" s="899">
        <f t="shared" si="0"/>
        <v>23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v>
      </c>
      <c r="AC13" s="899">
        <f t="shared" si="1"/>
        <v>11</v>
      </c>
      <c r="AD13" s="899">
        <f t="shared" si="1"/>
        <v>0</v>
      </c>
      <c r="AE13" s="899">
        <f t="shared" si="1"/>
        <v>0</v>
      </c>
      <c r="AF13" s="899">
        <f t="shared" si="1"/>
        <v>1</v>
      </c>
      <c r="AG13" s="899">
        <f t="shared" si="1"/>
        <v>0</v>
      </c>
      <c r="AH13" s="899">
        <f t="shared" si="1"/>
        <v>7</v>
      </c>
      <c r="AI13" s="899">
        <f t="shared" si="1"/>
        <v>0</v>
      </c>
      <c r="AJ13" s="899">
        <f t="shared" si="1"/>
        <v>0</v>
      </c>
      <c r="AK13" s="899">
        <f t="shared" si="1"/>
        <v>0</v>
      </c>
      <c r="AL13" s="899">
        <f t="shared" si="1"/>
        <v>0</v>
      </c>
      <c r="AM13" s="899">
        <f t="shared" si="1"/>
        <v>462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19</v>
      </c>
      <c r="BD13" s="899">
        <f t="shared" si="1"/>
        <v>52</v>
      </c>
      <c r="BE13" s="899">
        <f t="shared" si="1"/>
        <v>0</v>
      </c>
      <c r="BF13" s="899">
        <f t="shared" si="1"/>
        <v>0</v>
      </c>
      <c r="BG13" s="899">
        <f>IF(ISNUMBER(Datos!K13/Datos!J13),Datos!K13/Datos!J13," - ")</f>
        <v>0.96907216494845361</v>
      </c>
      <c r="BH13" s="903">
        <f>IF(ISNUMBER(((Datos!L13/Datos!K13)*11)/factor_trimestre),((Datos!L13/Datos!K13)*11)/factor_trimestre," - ")</f>
        <v>9.7659574468085122</v>
      </c>
      <c r="BI13" s="899">
        <f>IF(ISNUMBER('Resol  Asuntos'!D13/NºAsuntos!G13),'Resol  Asuntos'!D13/NºAsuntos!G13," - ")</f>
        <v>0.17924528301886791</v>
      </c>
      <c r="BJ13" s="899" t="str">
        <f>IF(ISNUMBER(Datos!CI13/Datos!CJ13),Datos!CI13/Datos!CJ13," - ")</f>
        <v xml:space="preserve"> - </v>
      </c>
      <c r="BK13" s="899">
        <f>SUBTOTAL(9,BK8:BK12)</f>
        <v>0</v>
      </c>
      <c r="BL13" s="899">
        <f>IF(ISNUMBER((I13-AB13+L13)/(F13)),(I13-AB13+L13)/(F13)," - ")</f>
        <v>-1</v>
      </c>
      <c r="BM13" s="904">
        <f>SUBTOTAL(9,BM9:BM12)</f>
        <v>2.6666666666666668E-2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row>
    <row r="14" spans="1:74"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row>
    <row r="15" spans="1:74"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row>
    <row r="16" spans="1:74"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113</v>
      </c>
      <c r="G16" s="598">
        <f>IF(ISNUMBER(IF(D_I="SI",Datos!I16,Datos!I16+Datos!AC16)),IF(D_I="SI",Datos!I16,Datos!I16+Datos!AC16)," - ")</f>
        <v>129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140</v>
      </c>
      <c r="AC16" s="226">
        <f>IF(ISNUMBER(Datos!Q16),Datos!Q16," - ")</f>
        <v>7</v>
      </c>
      <c r="AD16" s="334"/>
      <c r="AE16" s="484"/>
      <c r="AF16" s="596">
        <f>IF(ISNUMBER(IF(D_I="SI",Datos!L16,Datos!L16+Datos!AF16)),IF(D_I="SI",Datos!L16,Datos!L16+Datos!AF16)," - ")</f>
        <v>109</v>
      </c>
      <c r="AG16" s="334"/>
      <c r="AH16" s="334"/>
      <c r="AI16" s="334"/>
      <c r="AJ16" s="334"/>
      <c r="AK16" s="334"/>
      <c r="AL16" s="479"/>
      <c r="AM16" s="335">
        <f>IF(ISNUMBER(Datos!R16),Datos!R16," - ")</f>
        <v>11</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11</v>
      </c>
      <c r="BD16" s="229">
        <f>IF(ISNUMBER(Datos!N16),Datos!N16," - ")</f>
        <v>101</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1.0294117647058822</v>
      </c>
      <c r="BH16" s="260">
        <f>IF(ISNUMBER(((IF(D_I="SI",Datos!L16/Datos!K16,(Datos!L16+Datos!AF16)/(Datos!K16+Datos!AE16)))*11)/factor_trimestre),((IF(D_I="SI",Datos!L16/Datos!K16,(Datos!L16+Datos!AF16)/(Datos!K16+Datos!AE16)))*11)/factor_trimestre," - ")</f>
        <v>2.3357142857142859</v>
      </c>
      <c r="BI16" s="243">
        <f>IF(ISNUMBER('Resol  Asuntos'!D16/NºAsuntos!G16),'Resol  Asuntos'!D16/NºAsuntos!G16," - ")</f>
        <v>7.857142857142857E-2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row>
    <row r="17" spans="1:74"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0</v>
      </c>
      <c r="AC17" s="226">
        <f>IF(ISNUMBER(Datos!Q17),Datos!Q17," - ")</f>
        <v>0</v>
      </c>
      <c r="AD17" s="334"/>
      <c r="AE17" s="484"/>
      <c r="AF17" s="332">
        <f>IF(ISNUMBER(Datos!L17),Datos!L17,"-")</f>
        <v>13</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v>
      </c>
      <c r="BH17" s="260" t="str">
        <f>IF(ISNUMBER(((IF(D_I="SI",Datos!L17/Datos!K17,(Datos!L17+Datos!AF17)/(Datos!K17+Datos!AE17)))*11)/factor_trimestre),((IF(D_I="SI",Datos!L17/Datos!K17,(Datos!L17+Datos!AF17)/(Datos!K17+Datos!AE17)))*11)/factor_trimestre," - ")</f>
        <v xml:space="preserve"> - </v>
      </c>
      <c r="BI17" s="243" t="str">
        <f>IF(ISNUMBER('Resol  Asuntos'!D17/NºAsuntos!G17),'Resol  Asuntos'!D17/NºAsuntos!G17," - ")</f>
        <v xml:space="preserve"> - </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row>
    <row r="18" spans="1:74" ht="15.75" thickTop="1" thickBot="1">
      <c r="A18" s="178"/>
      <c r="B18" s="178"/>
      <c r="C18" s="863" t="str">
        <f>Datos!A18</f>
        <v>TOTAL</v>
      </c>
      <c r="D18" s="897"/>
      <c r="E18" s="1164">
        <f>SUBTOTAL(9,E15:E17)</f>
        <v>1</v>
      </c>
      <c r="F18" s="898">
        <f>SUBTOTAL(9,F15:F17)</f>
        <v>113</v>
      </c>
      <c r="G18" s="898">
        <f>SUBTOTAL(9,G15:G17)</f>
        <v>139</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140</v>
      </c>
      <c r="AC18" s="899">
        <f t="shared" si="4"/>
        <v>7</v>
      </c>
      <c r="AD18" s="899">
        <f t="shared" si="4"/>
        <v>0</v>
      </c>
      <c r="AE18" s="899">
        <f t="shared" si="4"/>
        <v>0</v>
      </c>
      <c r="AF18" s="899">
        <f t="shared" si="4"/>
        <v>122</v>
      </c>
      <c r="AG18" s="899">
        <f t="shared" si="4"/>
        <v>0</v>
      </c>
      <c r="AH18" s="899">
        <f t="shared" si="4"/>
        <v>0</v>
      </c>
      <c r="AI18" s="899">
        <f t="shared" si="4"/>
        <v>0</v>
      </c>
      <c r="AJ18" s="899">
        <f t="shared" si="4"/>
        <v>0</v>
      </c>
      <c r="AK18" s="899">
        <f t="shared" si="4"/>
        <v>0</v>
      </c>
      <c r="AL18" s="899">
        <f t="shared" si="4"/>
        <v>0</v>
      </c>
      <c r="AM18" s="899">
        <f t="shared" si="4"/>
        <v>11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11</v>
      </c>
      <c r="BD18" s="899">
        <f t="shared" si="4"/>
        <v>104</v>
      </c>
      <c r="BE18" s="899">
        <f t="shared" si="4"/>
        <v>0</v>
      </c>
      <c r="BF18" s="899">
        <f t="shared" si="4"/>
        <v>0</v>
      </c>
      <c r="BG18" s="899">
        <f>IF(ISNUMBER(Datos!K18/Datos!J18),Datos!K18/Datos!J18," - ")</f>
        <v>1.0071942446043165</v>
      </c>
      <c r="BH18" s="903">
        <f>IF(ISNUMBER(((Datos!L18/Datos!K18)*11)/factor_trimestre),((Datos!L18/Datos!K18)*11)/factor_trimestre," - ")</f>
        <v>2.6142857142857143</v>
      </c>
      <c r="BI18" s="899">
        <f>SUBTOTAL(9,BI15:BI17)</f>
        <v>7.857142857142857E-2</v>
      </c>
      <c r="BJ18" s="899">
        <f>SUBTOTAL(9,BJ15:BJ17)</f>
        <v>0</v>
      </c>
      <c r="BK18" s="899">
        <f>SUBTOTAL(9,BK15:BK17)</f>
        <v>0</v>
      </c>
      <c r="BL18" s="899">
        <f>IF(ISNUMBER((I18-AB18+L18)/(F18)),(I18-AB18+L18)/(F18)," - ")</f>
        <v>-1.2389380530973451</v>
      </c>
      <c r="BM18" s="905">
        <f>IF(ISNUMBER((Datos!P18-Datos!Q18)/(Datos!R18-Datos!P18+Datos!Q18)),(Datos!P18-Datos!Q18)/(Datos!R18-Datos!P18+Datos!Q18)," - ")</f>
        <v>-0.3125</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row>
    <row r="19" spans="1:74" ht="18.75" customHeight="1" thickTop="1" thickBot="1">
      <c r="A19" s="172"/>
      <c r="B19" s="172"/>
      <c r="C19" s="818" t="str">
        <f>Datos!A19</f>
        <v>TOTAL JURISDICCIONES</v>
      </c>
      <c r="D19" s="818"/>
      <c r="E19" s="1166">
        <f t="shared" ref="E19:R19" si="6">SUBTOTAL(9,E9:E18)</f>
        <v>2</v>
      </c>
      <c r="F19" s="820">
        <f t="shared" si="6"/>
        <v>115</v>
      </c>
      <c r="G19" s="820">
        <f t="shared" si="6"/>
        <v>141</v>
      </c>
      <c r="H19" s="822">
        <f t="shared" si="6"/>
        <v>0</v>
      </c>
      <c r="I19" s="820">
        <f t="shared" si="6"/>
        <v>0</v>
      </c>
      <c r="J19" s="822">
        <f t="shared" si="6"/>
        <v>0</v>
      </c>
      <c r="K19" s="822">
        <f t="shared" si="6"/>
        <v>0</v>
      </c>
      <c r="L19" s="881">
        <f t="shared" si="6"/>
        <v>0</v>
      </c>
      <c r="M19" s="881">
        <f t="shared" si="6"/>
        <v>0</v>
      </c>
      <c r="N19" s="881">
        <f t="shared" si="6"/>
        <v>7</v>
      </c>
      <c r="O19" s="881">
        <f t="shared" si="6"/>
        <v>0</v>
      </c>
      <c r="P19" s="881">
        <f t="shared" si="6"/>
        <v>0</v>
      </c>
      <c r="Q19" s="822">
        <f t="shared" si="6"/>
        <v>25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142</v>
      </c>
      <c r="AC19" s="821">
        <f t="shared" si="7"/>
        <v>18</v>
      </c>
      <c r="AD19" s="821">
        <f t="shared" si="7"/>
        <v>0</v>
      </c>
      <c r="AE19" s="821">
        <f t="shared" si="7"/>
        <v>0</v>
      </c>
      <c r="AF19" s="828">
        <f t="shared" si="7"/>
        <v>123</v>
      </c>
      <c r="AG19" s="828">
        <f t="shared" si="7"/>
        <v>0</v>
      </c>
      <c r="AH19" s="828">
        <f t="shared" si="7"/>
        <v>7</v>
      </c>
      <c r="AI19" s="828">
        <f t="shared" si="7"/>
        <v>0</v>
      </c>
      <c r="AJ19" s="821">
        <f t="shared" si="7"/>
        <v>0</v>
      </c>
      <c r="AK19" s="828">
        <f t="shared" si="7"/>
        <v>0</v>
      </c>
      <c r="AL19" s="828">
        <f t="shared" si="7"/>
        <v>0</v>
      </c>
      <c r="AM19" s="828">
        <f t="shared" si="7"/>
        <v>473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30</v>
      </c>
      <c r="BD19" s="820">
        <f t="shared" si="7"/>
        <v>156</v>
      </c>
      <c r="BE19" s="820">
        <f t="shared" si="7"/>
        <v>0</v>
      </c>
      <c r="BF19" s="830">
        <f t="shared" si="7"/>
        <v>0</v>
      </c>
      <c r="BG19" s="915">
        <f>IF(ISNUMBER(Datos!K19/Datos!J19),Datos!K19/Datos!J19," - ")</f>
        <v>0.99152542372881358</v>
      </c>
      <c r="BH19" s="915">
        <f>IF(ISNUMBER(((Datos!L19/Datos!K19)*11)/factor_trimestre),((Datos!L19/Datos!K19)*11)/factor_trimestre," - ")</f>
        <v>5.4871794871794872</v>
      </c>
      <c r="BI19" s="813">
        <f>IF(ISNUMBER(Datos!J19/Datos!I19),Datos!J19/Datos!I19," - ")</f>
        <v>0.54004576659038905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-1.2347826086956522</v>
      </c>
      <c r="BM19" s="889">
        <f>IF(ISNUMBER((Datos!P19-Datos!Q19+R19)/(Datos!R19-Datos!P19+Datos!Q19-R19)),(Datos!P19-Datos!Q19+R19)/(Datos!R19-Datos!P19+Datos!Q19-R19)," - ")</f>
        <v>1.5021459227467811E-2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4"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56.4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4" ht="18.75" hidden="1" customHeight="1" thickTop="1" thickBot="1">
      <c r="A21" s="168"/>
      <c r="B21" s="168"/>
      <c r="C21" s="168" t="s">
        <v>265</v>
      </c>
      <c r="D21" s="482"/>
      <c r="E21" s="517">
        <f>IF(ISNUMBER(STDEV(E8:E18)),STDEV(E8:E18),"-")</f>
        <v>0.52704627669472992</v>
      </c>
      <c r="F21" s="551">
        <f>IF(ISNUMBER(STDEV(F8:F18)),STDEV(F8:F18),"-")</f>
        <v>64.085879880048466</v>
      </c>
      <c r="G21" s="552">
        <f>IF(ISNUMBER(STDEV(G8:G18)),STDEV(G8:G18),"-")</f>
        <v>71.002112644624873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75.955249983131509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8.5322916030806173</v>
      </c>
      <c r="BD21" s="551"/>
      <c r="BE21" s="551">
        <f>IF(ISNUMBER(STDEV(BE8:BE18)),STDEV(BE8:BE18),"-")</f>
        <v>0</v>
      </c>
      <c r="BF21" s="556">
        <f>IF(ISNUMBER(STDEV(BF8:BF18)),STDEV(BF8:BF18),"-")</f>
        <v>0</v>
      </c>
      <c r="BG21" s="775">
        <f>IF(ISNUMBER(STDEV(BG8:BG18)),STDEV(BG8:BG18),"-")</f>
        <v>0.63276032431239748</v>
      </c>
      <c r="BH21" s="776">
        <f>IF(ISNUMBER(STDEV(BH8:BH18)),STDEV(BH8:BH18),"-")</f>
        <v>3.9920256099326084</v>
      </c>
      <c r="BI21" s="249">
        <f>IF(ISNUMBER(STDEV(BI8:BI18)),STDEV(BI8:BI18),"-")</f>
        <v>5.8124076965586267E-2</v>
      </c>
      <c r="BJ21" s="230" t="str">
        <f>IF(ISNUMBER(BL21/BM21),BL21/BM21," - ")</f>
        <v xml:space="preserve"> - </v>
      </c>
      <c r="BK21" s="575"/>
      <c r="BL21" s="559">
        <f>IF(ISNUMBER(STDEV(BL8:BL18)),STDEV(BL8:BL18),"-")</f>
        <v>0.16895471762864384</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4"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4"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4"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4"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4"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4">
      <c r="C27" s="71"/>
      <c r="D27" s="71"/>
    </row>
    <row r="30" spans="1:74">
      <c r="C30" s="471" t="str">
        <f>Criterios!A4</f>
        <v>Fecha Informe: 29 may. 2024</v>
      </c>
    </row>
    <row r="32" spans="1:74">
      <c r="C32" s="527"/>
      <c r="D32" s="527"/>
    </row>
  </sheetData>
  <sheetProtection algorithmName="SHA-512" hashValue="W9CUMjB+DYr4epkzX7YHiCqaCF6X484fc9SJhLMTVOrlfTr/IUylnyNHCGPBD1V6JVJeDGukBUSaFJ2J78IfTg==" saltValue="SrcPCLgT57KF9bd5NYZHUg=="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U33"/>
  <sheetViews>
    <sheetView topLeftCell="C1" zoomScale="85" zoomScaleNormal="85" workbookViewId="0">
      <selection activeCell="C5" sqref="C5:C6"/>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16384" width="11.42578125" style="471"/>
  </cols>
  <sheetData>
    <row r="1" spans="1:73">
      <c r="C1" s="528" t="str">
        <f>Criterios!A9 &amp;"  "&amp;Criterios!B9</f>
        <v>Tribunales de Justicia  ASTURIAS</v>
      </c>
    </row>
    <row r="2" spans="1:73" ht="16.5" customHeight="1">
      <c r="C2" s="528" t="str">
        <f>Criterios!A10 &amp;"  "&amp;Criterios!B10 &amp; "  " &amp; IF(NOT(ISBLANK(Criterios!A11)),Criterios!A11 &amp;"  "&amp;Criterios!B11,"")</f>
        <v>Provincias  ASTURIAS  Resumenes por Partidos Judiciales  TINEO</v>
      </c>
      <c r="D2" s="488"/>
      <c r="E2" s="488"/>
      <c r="F2" s="489"/>
      <c r="G2" s="490"/>
      <c r="H2" s="489"/>
      <c r="I2" s="489"/>
      <c r="J2" s="262"/>
      <c r="K2" s="604"/>
      <c r="L2" s="604"/>
      <c r="M2" s="604"/>
      <c r="N2" s="489"/>
      <c r="O2" s="489"/>
      <c r="P2" s="491"/>
      <c r="Q2" s="491"/>
      <c r="R2" s="582"/>
      <c r="S2" s="491"/>
      <c r="V2" s="604"/>
    </row>
    <row r="3" spans="1:73" ht="25.5" customHeight="1">
      <c r="C3" s="1112"/>
      <c r="D3" s="493"/>
      <c r="E3" s="493"/>
      <c r="G3" s="490"/>
      <c r="H3" s="489"/>
      <c r="I3" s="489"/>
      <c r="K3" s="604"/>
      <c r="L3" s="604"/>
      <c r="M3" s="604"/>
      <c r="N3" s="489"/>
      <c r="O3" s="489"/>
      <c r="P3" s="491"/>
      <c r="Q3" s="491"/>
      <c r="R3" s="582"/>
    </row>
    <row r="4" spans="1:73" ht="18.75" customHeight="1" thickBot="1">
      <c r="C4" s="1113"/>
      <c r="D4" s="494"/>
      <c r="E4" s="494"/>
      <c r="F4" s="495"/>
      <c r="G4" s="495"/>
      <c r="H4" s="495"/>
      <c r="I4" s="495"/>
      <c r="J4" s="330"/>
      <c r="K4" s="604"/>
      <c r="L4" s="604"/>
      <c r="M4" s="604"/>
      <c r="N4" s="495"/>
      <c r="O4" s="495"/>
      <c r="P4" s="491"/>
      <c r="Q4" s="491"/>
      <c r="R4" s="582"/>
      <c r="S4" s="491"/>
      <c r="V4" s="604"/>
      <c r="BU4" s="495"/>
    </row>
    <row r="5" spans="1:73" ht="15.75" customHeight="1">
      <c r="A5" s="1283" t="s">
        <v>351</v>
      </c>
      <c r="B5" s="272"/>
      <c r="C5" s="1528" t="str">
        <f>"Año:  " &amp;Criterios!B$5 &amp; "          Trimestre   " &amp;Criterios!D$5 &amp; " al " &amp;Criterios!D$6</f>
        <v>Año:  2024          Trimestre   1 al 1</v>
      </c>
      <c r="D5" s="1530" t="s">
        <v>376</v>
      </c>
      <c r="E5" s="1490" t="s">
        <v>560</v>
      </c>
      <c r="F5" s="1519" t="s">
        <v>406</v>
      </c>
      <c r="G5" s="1490" t="s">
        <v>128</v>
      </c>
      <c r="H5" s="1490" t="s">
        <v>590</v>
      </c>
      <c r="I5" s="1490" t="s">
        <v>561</v>
      </c>
      <c r="J5" s="1490" t="s">
        <v>683</v>
      </c>
      <c r="K5" s="1490" t="s">
        <v>562</v>
      </c>
      <c r="L5" s="1490" t="s">
        <v>588</v>
      </c>
      <c r="M5" s="1490" t="s">
        <v>684</v>
      </c>
      <c r="N5" s="1490" t="s">
        <v>587</v>
      </c>
      <c r="O5" s="1490" t="s">
        <v>614</v>
      </c>
      <c r="P5" s="1525" t="s">
        <v>676</v>
      </c>
      <c r="Q5" s="1525" t="s">
        <v>678</v>
      </c>
      <c r="R5" s="1490" t="s">
        <v>594</v>
      </c>
      <c r="S5" s="1490" t="s">
        <v>563</v>
      </c>
      <c r="T5" s="1490" t="s">
        <v>770</v>
      </c>
      <c r="U5" s="1490" t="s">
        <v>771</v>
      </c>
      <c r="V5" s="1493" t="s">
        <v>667</v>
      </c>
      <c r="W5" s="1508" t="s">
        <v>576</v>
      </c>
      <c r="X5" s="1511" t="s">
        <v>577</v>
      </c>
      <c r="Y5" s="1487" t="s">
        <v>595</v>
      </c>
      <c r="Z5" s="1487" t="s">
        <v>615</v>
      </c>
      <c r="AA5" s="1490" t="s">
        <v>567</v>
      </c>
      <c r="AB5" s="1490" t="s">
        <v>578</v>
      </c>
      <c r="AC5" s="1490" t="s">
        <v>579</v>
      </c>
      <c r="AD5" s="1490" t="s">
        <v>533</v>
      </c>
      <c r="AE5" s="1490" t="s">
        <v>685</v>
      </c>
      <c r="AF5" s="1490" t="s">
        <v>182</v>
      </c>
      <c r="AG5" s="1490" t="s">
        <v>580</v>
      </c>
      <c r="AH5" s="1490" t="s">
        <v>568</v>
      </c>
      <c r="AI5" s="1490" t="s">
        <v>569</v>
      </c>
      <c r="AJ5" s="1490" t="s">
        <v>581</v>
      </c>
      <c r="AK5" s="1490" t="s">
        <v>582</v>
      </c>
      <c r="AL5" s="1490" t="s">
        <v>583</v>
      </c>
      <c r="AM5" s="1505" t="s">
        <v>584</v>
      </c>
      <c r="AN5" s="1490" t="s">
        <v>249</v>
      </c>
      <c r="AO5" s="1490" t="s">
        <v>571</v>
      </c>
      <c r="AP5" s="1490" t="s">
        <v>572</v>
      </c>
      <c r="AQ5" s="1490" t="s">
        <v>596</v>
      </c>
      <c r="AR5" s="1490" t="s">
        <v>597</v>
      </c>
      <c r="AS5" s="1490" t="s">
        <v>599</v>
      </c>
      <c r="AT5" s="1490" t="s">
        <v>592</v>
      </c>
      <c r="AU5" s="1490" t="s">
        <v>838</v>
      </c>
      <c r="AV5" s="1490" t="s">
        <v>333</v>
      </c>
      <c r="AW5" s="1490" t="s">
        <v>585</v>
      </c>
      <c r="AX5" s="1490" t="s">
        <v>538</v>
      </c>
      <c r="BU5" s="1490" t="s">
        <v>772</v>
      </c>
    </row>
    <row r="6" spans="1:73" ht="21.75" customHeight="1">
      <c r="A6" s="1284"/>
      <c r="B6" s="273"/>
      <c r="C6" s="1529"/>
      <c r="D6" s="1531"/>
      <c r="E6" s="1491"/>
      <c r="F6" s="1520"/>
      <c r="G6" s="1491"/>
      <c r="H6" s="1491"/>
      <c r="I6" s="1491"/>
      <c r="J6" s="1491"/>
      <c r="K6" s="1491"/>
      <c r="L6" s="1491"/>
      <c r="M6" s="1491"/>
      <c r="N6" s="1491"/>
      <c r="O6" s="1491"/>
      <c r="P6" s="1526"/>
      <c r="Q6" s="1526"/>
      <c r="R6" s="1491"/>
      <c r="S6" s="1491"/>
      <c r="T6" s="1491"/>
      <c r="U6" s="1491"/>
      <c r="V6" s="1494"/>
      <c r="W6" s="1509"/>
      <c r="X6" s="1512"/>
      <c r="Y6" s="1488"/>
      <c r="Z6" s="1488"/>
      <c r="AA6" s="1491"/>
      <c r="AB6" s="1491"/>
      <c r="AC6" s="1491"/>
      <c r="AD6" s="1491"/>
      <c r="AE6" s="1491"/>
      <c r="AF6" s="1491"/>
      <c r="AG6" s="1491"/>
      <c r="AH6" s="1491"/>
      <c r="AI6" s="1491"/>
      <c r="AJ6" s="1491"/>
      <c r="AK6" s="1491"/>
      <c r="AL6" s="1491"/>
      <c r="AM6" s="1506"/>
      <c r="AN6" s="1491"/>
      <c r="AO6" s="1491"/>
      <c r="AP6" s="1491"/>
      <c r="AQ6" s="1491"/>
      <c r="AR6" s="1491"/>
      <c r="AS6" s="1491"/>
      <c r="AT6" s="1491"/>
      <c r="AU6" s="1491"/>
      <c r="AV6" s="1491"/>
      <c r="AW6" s="1491"/>
      <c r="AX6" s="1491"/>
      <c r="BU6" s="1491"/>
    </row>
    <row r="7" spans="1:73" ht="38.25" customHeight="1" thickBot="1">
      <c r="A7" s="1285"/>
      <c r="B7" s="274"/>
      <c r="C7" s="529" t="str">
        <f>Datos!A7</f>
        <v>COMPETENCIAS</v>
      </c>
      <c r="D7" s="1532"/>
      <c r="E7" s="1492"/>
      <c r="F7" s="1521"/>
      <c r="G7" s="1492"/>
      <c r="H7" s="1492"/>
      <c r="I7" s="1492"/>
      <c r="J7" s="1492"/>
      <c r="K7" s="1492"/>
      <c r="L7" s="1492"/>
      <c r="M7" s="1492"/>
      <c r="N7" s="1492"/>
      <c r="O7" s="1492"/>
      <c r="P7" s="1527"/>
      <c r="Q7" s="1527"/>
      <c r="R7" s="1492"/>
      <c r="S7" s="1492"/>
      <c r="T7" s="1492"/>
      <c r="U7" s="1492"/>
      <c r="V7" s="1495"/>
      <c r="W7" s="1510"/>
      <c r="X7" s="1513"/>
      <c r="Y7" s="1489"/>
      <c r="Z7" s="1489"/>
      <c r="AA7" s="1492"/>
      <c r="AB7" s="1492"/>
      <c r="AC7" s="1492"/>
      <c r="AD7" s="1492"/>
      <c r="AE7" s="1492"/>
      <c r="AF7" s="1492"/>
      <c r="AG7" s="1492"/>
      <c r="AH7" s="1492"/>
      <c r="AI7" s="1492"/>
      <c r="AJ7" s="1492"/>
      <c r="AK7" s="1492"/>
      <c r="AL7" s="1492"/>
      <c r="AM7" s="1507"/>
      <c r="AN7" s="1492"/>
      <c r="AO7" s="1492"/>
      <c r="AP7" s="1492"/>
      <c r="AQ7" s="1492"/>
      <c r="AR7" s="1492"/>
      <c r="AS7" s="1492"/>
      <c r="AT7" s="1492"/>
      <c r="AU7" s="1492"/>
      <c r="AV7" s="1492"/>
      <c r="AW7" s="1492"/>
      <c r="AX7" s="1492"/>
      <c r="BU7" s="1492"/>
    </row>
    <row r="8" spans="1:73"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3"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row>
    <row r="10" spans="1:73" ht="14.25">
      <c r="A10" s="501">
        <f>Datos!AO10</f>
        <v>1</v>
      </c>
      <c r="B10" s="507" t="s">
        <v>246</v>
      </c>
      <c r="C10" s="7" t="str">
        <f>Datos!A10</f>
        <v>Jdos. Violencia contra la mujer</v>
      </c>
      <c r="D10" s="508"/>
      <c r="E10" s="1168">
        <f>IF(ISNUMBER(Datos!AQ10),Datos!AQ10," - ")</f>
        <v>0</v>
      </c>
      <c r="F10" s="225">
        <f>IF(ISNUMBER(Datos!L10+Datos!K10-Datos!J10),Datos!L10+Datos!K10-Datos!J10," - ")</f>
        <v>2</v>
      </c>
      <c r="G10" s="225">
        <f>IF(ISNUMBER(Datos!I10),Datos!I10," - ")</f>
        <v>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v>
      </c>
      <c r="Z10" s="619">
        <f>IF(ISNUMBER(Datos!Q10),Datos!Q10," - ")</f>
        <v>0</v>
      </c>
      <c r="AA10" s="332">
        <f>IF(ISNUMBER(Datos!L10),Datos!L10,"-")</f>
        <v>1</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1.5</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row>
    <row r="11" spans="1:73"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IF(ISNUMBER((J11-Y11+K11)/(F11)),(J11-Y11+K11)/(F11),"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row>
    <row r="12" spans="1:73"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23</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11</v>
      </c>
      <c r="AA12" s="332" t="str">
        <f>IF(ISNUMBER(IF(J_V="SI",Datos!L12,Datos!L12+Datos!AB12)-IF(Monitorios="SI",Datos!CD12,0)),
                          IF(J_V="SI",Datos!L12,Datos!L12+Datos!AB12)-IF(Monitorios="SI",Datos!CD12,0),
                          " - ")</f>
        <v xml:space="preserve"> - </v>
      </c>
      <c r="AB12" s="334"/>
      <c r="AC12" s="334"/>
      <c r="AD12" s="484"/>
      <c r="AE12" s="484">
        <f>IF(ISNUMBER(Datos!R12),Datos!R12," - ")</f>
        <v>462</v>
      </c>
      <c r="AF12" s="229" t="str">
        <f>IF(ISNUMBER(Datos!BV12),Datos!BV12," - ")</f>
        <v xml:space="preserve"> - </v>
      </c>
      <c r="AG12" s="225" t="str">
        <f>IF(ISNUMBER(Datos!DV12),Datos!DV12," - ")</f>
        <v xml:space="preserve"> - </v>
      </c>
      <c r="AH12" s="298"/>
      <c r="AI12" s="227"/>
      <c r="AJ12" s="225">
        <f>IF(ISNUMBER(Datos!M12),Datos!M12," - ")</f>
        <v>19</v>
      </c>
      <c r="AK12" s="229">
        <f>IF(ISNUMBER(Datos!N12),Datos!N12," - ")</f>
        <v>52</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9</v>
      </c>
      <c r="AP12" s="230" t="str">
        <f>IF(ISNUMBER(Datos!CI12/Datos!CJ12),Datos!CI12/Datos!CJ12," - ")</f>
        <v xml:space="preserve"> - </v>
      </c>
      <c r="AQ12" s="230" t="str">
        <f>IF(ISNUMBER((J12-Y12+K12)/(F12)),(J12-Y12+K12)/(F12)," - ")</f>
        <v xml:space="preserve"> - </v>
      </c>
      <c r="AR12" s="230">
        <f>IF(ISNUMBER((Datos!P12-Datos!Q12+Datos!DE12)/(Datos!R12-Datos!P12+Datos!Q12-Datos!DE12)),(Datos!P12-Datos!Q12+Datos!DE12)/(Datos!R12-Datos!P12+Datos!Q12-Datos!DE12)," - ")</f>
        <v>2.6666666666666668E-2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row>
    <row r="13" spans="1:73" ht="15.75" thickTop="1" thickBot="1">
      <c r="A13" s="178"/>
      <c r="B13" s="178"/>
      <c r="C13" s="863" t="str">
        <f>Datos!A13</f>
        <v>TOTAL</v>
      </c>
      <c r="D13" s="863"/>
      <c r="E13" s="898">
        <f>SUBTOTAL(9,E8:E12)</f>
        <v>1</v>
      </c>
      <c r="F13" s="898">
        <f>SUBTOTAL(9,F8:F12)</f>
        <v>2</v>
      </c>
      <c r="G13" s="898">
        <f>SUBTOTAL(9,G8:G12)</f>
        <v>2</v>
      </c>
      <c r="H13" s="908"/>
      <c r="I13" s="898">
        <f t="shared" ref="I13:N13" si="0">SUBTOTAL(9,I8:I12)</f>
        <v>0</v>
      </c>
      <c r="J13" s="867">
        <f t="shared" si="0"/>
        <v>0</v>
      </c>
      <c r="K13" s="908">
        <f t="shared" si="0"/>
        <v>0</v>
      </c>
      <c r="L13" s="908">
        <f t="shared" si="0"/>
        <v>0</v>
      </c>
      <c r="M13" s="908">
        <f t="shared" si="0"/>
        <v>0</v>
      </c>
      <c r="N13" s="908">
        <f t="shared" si="0"/>
        <v>23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v>
      </c>
      <c r="Z13" s="907">
        <f t="shared" si="2"/>
        <v>11</v>
      </c>
      <c r="AA13" s="900">
        <f t="shared" si="2"/>
        <v>1</v>
      </c>
      <c r="AB13" s="900">
        <f t="shared" si="2"/>
        <v>0</v>
      </c>
      <c r="AC13" s="900">
        <f t="shared" si="2"/>
        <v>0</v>
      </c>
      <c r="AD13" s="900">
        <f t="shared" si="2"/>
        <v>0</v>
      </c>
      <c r="AE13" s="900">
        <f t="shared" si="2"/>
        <v>462</v>
      </c>
      <c r="AF13" s="908">
        <f t="shared" si="2"/>
        <v>0</v>
      </c>
      <c r="AG13" s="908">
        <f t="shared" si="2"/>
        <v>0</v>
      </c>
      <c r="AH13" s="908">
        <f t="shared" si="2"/>
        <v>0</v>
      </c>
      <c r="AI13" s="908">
        <f t="shared" si="2"/>
        <v>0</v>
      </c>
      <c r="AJ13" s="908">
        <f t="shared" si="2"/>
        <v>19</v>
      </c>
      <c r="AK13" s="908">
        <f t="shared" si="2"/>
        <v>52</v>
      </c>
      <c r="AL13" s="908">
        <f t="shared" si="2"/>
        <v>0</v>
      </c>
      <c r="AM13" s="908">
        <f t="shared" si="2"/>
        <v>0</v>
      </c>
      <c r="AN13" s="908">
        <f t="shared" si="2"/>
        <v>0</v>
      </c>
      <c r="AO13" s="904">
        <f>IF(ISNUMBER(((NºAsuntos!I13/NºAsuntos!G13)*11)/factor_trimestre),((NºAsuntos!I13/NºAsuntos!G13)*11)/factor_trimestre," - ")</f>
        <v>8.8584905660377355</v>
      </c>
      <c r="AP13" s="910" t="str">
        <f>IF(ISNUMBER(Datos!CI13/Datos!CJ13),Datos!CI13/Datos!CJ13," - ")</f>
        <v xml:space="preserve"> - </v>
      </c>
      <c r="AQ13" s="928">
        <f t="shared" ref="AQ13:AV13" si="3">SUBTOTAL(9,AQ9:AQ12)</f>
        <v>0</v>
      </c>
      <c r="AR13" s="928">
        <f t="shared" si="3"/>
        <v>2.6666666666666668E-2</v>
      </c>
      <c r="AS13" s="908">
        <f t="shared" si="3"/>
        <v>0</v>
      </c>
      <c r="AT13" s="908">
        <f t="shared" si="3"/>
        <v>0</v>
      </c>
      <c r="AU13" s="908">
        <f t="shared" si="3"/>
        <v>0</v>
      </c>
      <c r="AV13" s="908">
        <f t="shared" si="3"/>
        <v>0</v>
      </c>
      <c r="AW13" s="930"/>
      <c r="AX13" s="931"/>
      <c r="BU13" s="899"/>
    </row>
    <row r="14" spans="1:73"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row>
    <row r="15" spans="1:73"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row>
    <row r="16" spans="1:73" ht="14.25">
      <c r="A16" s="501">
        <f>Datos!AO16</f>
        <v>1</v>
      </c>
      <c r="B16" s="507" t="s">
        <v>396</v>
      </c>
      <c r="C16" s="160" t="str">
        <f>Datos!A16</f>
        <v xml:space="preserve">Jdos. 1ª Instª. e Instr.                        </v>
      </c>
      <c r="D16" s="502"/>
      <c r="E16" s="1168">
        <f>IF(ISNUMBER(Datos!AQ16),Datos!AQ16," - ")</f>
        <v>1</v>
      </c>
      <c r="F16" s="333">
        <f>IF(ISNUMBER(AA16+Y16-Datos!J16-K15),AA16+Y16-Datos!J16-K15," - ")</f>
        <v>113</v>
      </c>
      <c r="G16" s="225">
        <f>IF(ISNUMBER(IF(D_I="SI",Datos!I16,Datos!I16+Datos!AC16)),IF(D_I="SI",Datos!I16,Datos!I16+Datos!AC16)," - ")</f>
        <v>129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140</v>
      </c>
      <c r="Z16" s="619">
        <f>IF(ISNUMBER(Datos!Q16),Datos!Q16," - ")</f>
        <v>7</v>
      </c>
      <c r="AA16" s="332">
        <f>IF(ISNUMBER(IF(D_I="SI",Datos!L16,Datos!L16+Datos!AF16)),IF(D_I="SI",Datos!L16,Datos!L16+Datos!AF16)," - ")</f>
        <v>109</v>
      </c>
      <c r="AB16" s="334"/>
      <c r="AC16" s="334"/>
      <c r="AD16" s="484"/>
      <c r="AE16" s="484">
        <f>IF(ISNUMBER(Datos!R16),Datos!R16," - ")</f>
        <v>11</v>
      </c>
      <c r="AF16" s="229" t="str">
        <f>IF(ISNUMBER(Datos!BV16),Datos!BV16," - ")</f>
        <v xml:space="preserve"> - </v>
      </c>
      <c r="AG16" s="225"/>
      <c r="AH16" s="298"/>
      <c r="AI16" s="227"/>
      <c r="AJ16" s="225">
        <f>IF(ISNUMBER(Datos!M16),Datos!M16," - ")</f>
        <v>11</v>
      </c>
      <c r="AK16" s="229">
        <f>IF(ISNUMBER(Datos!N16),Datos!N16," - ")</f>
        <v>101</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2.3357142857142859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row>
    <row r="17" spans="1:73"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0</v>
      </c>
      <c r="Z17" s="619">
        <f>IF(ISNUMBER(Datos!Q17),Datos!Q17," - ")</f>
        <v>0</v>
      </c>
      <c r="AA17" s="332">
        <f>IF(ISNUMBER(Datos!L17),Datos!L17,"-")</f>
        <v>13</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3</v>
      </c>
      <c r="AL17" s="229" t="str">
        <f>IF(ISNUMBER(Datos!BW17),Datos!BW17," - ")</f>
        <v xml:space="preserve"> - </v>
      </c>
      <c r="AM17" s="228" t="str">
        <f>IF(ISNUMBER(Datos!BX17),Datos!BX17," - ")</f>
        <v xml:space="preserve"> - </v>
      </c>
      <c r="AN17" s="243"/>
      <c r="AO17" s="260" t="str">
        <f>IF(ISNUMBER(((NºAsuntos!I17/NºAsuntos!G17)*11)/factor_trimestre),((NºAsuntos!I17/NºAsuntos!G17)*11)/factor_trimestre," - ")</f>
        <v xml:space="preserve"> - </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row>
    <row r="18" spans="1:73" ht="15.75" thickTop="1" thickBot="1">
      <c r="A18" s="178"/>
      <c r="B18" s="178"/>
      <c r="C18" s="863" t="str">
        <f>Datos!A18</f>
        <v>TOTAL</v>
      </c>
      <c r="D18" s="863"/>
      <c r="E18" s="1169">
        <f>SUBTOTAL(9,E15:E17)</f>
        <v>1</v>
      </c>
      <c r="F18" s="898">
        <f>SUBTOTAL(9,F15:F17)</f>
        <v>113</v>
      </c>
      <c r="G18" s="898">
        <f>SUBTOTAL(9,G15:G17)</f>
        <v>139</v>
      </c>
      <c r="H18" s="932">
        <f>SUBTOTAL(9,H15:H17)</f>
        <v>0</v>
      </c>
      <c r="I18" s="911">
        <f>SUBTOTAL(9,I15:I17)</f>
        <v>0</v>
      </c>
      <c r="J18" s="867">
        <f>SUBTOTAL(9,J14:J17)</f>
        <v>0</v>
      </c>
      <c r="K18" s="932">
        <f t="shared" ref="K18:S18" si="4">SUBTOTAL(9,K15:K17)</f>
        <v>0</v>
      </c>
      <c r="L18" s="932">
        <f t="shared" si="4"/>
        <v>0</v>
      </c>
      <c r="M18" s="932">
        <f t="shared" si="4"/>
        <v>0</v>
      </c>
      <c r="N18" s="932">
        <f t="shared" si="4"/>
        <v>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140</v>
      </c>
      <c r="Z18" s="932">
        <f t="shared" si="5"/>
        <v>7</v>
      </c>
      <c r="AA18" s="932">
        <f t="shared" si="5"/>
        <v>122</v>
      </c>
      <c r="AB18" s="932">
        <f t="shared" si="5"/>
        <v>0</v>
      </c>
      <c r="AC18" s="932">
        <f t="shared" si="5"/>
        <v>0</v>
      </c>
      <c r="AD18" s="932">
        <f t="shared" si="5"/>
        <v>0</v>
      </c>
      <c r="AE18" s="932">
        <f t="shared" si="5"/>
        <v>11</v>
      </c>
      <c r="AF18" s="932">
        <f t="shared" si="5"/>
        <v>0</v>
      </c>
      <c r="AG18" s="932">
        <f t="shared" si="5"/>
        <v>0</v>
      </c>
      <c r="AH18" s="932">
        <f t="shared" si="5"/>
        <v>0</v>
      </c>
      <c r="AI18" s="932">
        <f t="shared" si="5"/>
        <v>0</v>
      </c>
      <c r="AJ18" s="932">
        <f t="shared" si="5"/>
        <v>11</v>
      </c>
      <c r="AK18" s="932">
        <f t="shared" si="5"/>
        <v>104</v>
      </c>
      <c r="AL18" s="932">
        <f t="shared" si="5"/>
        <v>0</v>
      </c>
      <c r="AM18" s="932">
        <f t="shared" si="5"/>
        <v>0</v>
      </c>
      <c r="AN18" s="932">
        <f t="shared" si="5"/>
        <v>0</v>
      </c>
      <c r="AO18" s="934">
        <f>IF(ISNUMBER(((NºAsuntos!I18/NºAsuntos!G18)*11)/factor_trimestre),((NºAsuntos!I18/NºAsuntos!G18)*11)/factor_trimestre," - ")</f>
        <v>2.6142857142857143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row>
    <row r="19" spans="1:73" ht="18.75" customHeight="1" thickTop="1" thickBot="1">
      <c r="A19" s="172"/>
      <c r="B19" s="172"/>
      <c r="C19" s="818" t="str">
        <f>Datos!A19</f>
        <v>TOTAL JURISDICCIONES</v>
      </c>
      <c r="D19" s="819"/>
      <c r="E19" s="1170">
        <f t="shared" ref="E19:O19" si="7">SUBTOTAL(9,E9:E18)</f>
        <v>2</v>
      </c>
      <c r="F19" s="820">
        <f t="shared" si="7"/>
        <v>115</v>
      </c>
      <c r="G19" s="820">
        <f t="shared" si="7"/>
        <v>141</v>
      </c>
      <c r="H19" s="821">
        <f t="shared" si="7"/>
        <v>0</v>
      </c>
      <c r="I19" s="820">
        <f t="shared" si="7"/>
        <v>0</v>
      </c>
      <c r="J19" s="822">
        <f t="shared" si="7"/>
        <v>0</v>
      </c>
      <c r="K19" s="820">
        <f t="shared" si="7"/>
        <v>0</v>
      </c>
      <c r="L19" s="823">
        <f t="shared" si="7"/>
        <v>0</v>
      </c>
      <c r="M19" s="820">
        <f t="shared" si="7"/>
        <v>0</v>
      </c>
      <c r="N19" s="821">
        <f t="shared" si="7"/>
        <v>25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142</v>
      </c>
      <c r="Z19" s="827">
        <f t="shared" si="8"/>
        <v>18</v>
      </c>
      <c r="AA19" s="828">
        <f t="shared" si="8"/>
        <v>123</v>
      </c>
      <c r="AB19" s="828">
        <f t="shared" si="8"/>
        <v>0</v>
      </c>
      <c r="AC19" s="828">
        <f t="shared" si="8"/>
        <v>0</v>
      </c>
      <c r="AD19" s="829">
        <f t="shared" si="8"/>
        <v>0</v>
      </c>
      <c r="AE19" s="829">
        <f t="shared" si="8"/>
        <v>473</v>
      </c>
      <c r="AF19" s="830">
        <f t="shared" si="8"/>
        <v>0</v>
      </c>
      <c r="AG19" s="831">
        <f t="shared" si="8"/>
        <v>0</v>
      </c>
      <c r="AH19" s="832">
        <f t="shared" si="8"/>
        <v>0</v>
      </c>
      <c r="AI19" s="830">
        <f t="shared" si="8"/>
        <v>0</v>
      </c>
      <c r="AJ19" s="820">
        <f t="shared" si="8"/>
        <v>30</v>
      </c>
      <c r="AK19" s="820">
        <f t="shared" si="8"/>
        <v>156</v>
      </c>
      <c r="AL19" s="820">
        <f t="shared" si="8"/>
        <v>0</v>
      </c>
      <c r="AM19" s="833">
        <f t="shared" si="8"/>
        <v>0</v>
      </c>
      <c r="AN19" s="823">
        <f>IF(ISNUMBER(Datos!K19/Datos!J19),Datos!K19/Datos!J19," - ")</f>
        <v>0.99152542372881358</v>
      </c>
      <c r="AO19" s="823">
        <f>IF(ISNUMBER(FIND("06",Criterios!A8,1)),(IF(ISNUMBER(((Datos!R19/Datos!Q19)*11)/factor_trimestre),((Datos!R19/Datos!Q19)*11)/factor_trimestre," - ")),(IF(ISNUMBER(((Datos!L19/Datos!K19)*11)/factor_trimestre),((Datos!L19/Datos!K19)*11)/factor_trimestre," - ")))</f>
        <v>5.4871794871794872</v>
      </c>
      <c r="AP19" s="834" t="str">
        <f>IF(ISNUMBER(Datos!CI19/Datos!CJ19),Datos!CI19/Datos!CJ19," - ")</f>
        <v xml:space="preserve"> - </v>
      </c>
      <c r="AQ19" s="834">
        <f>IF(OR(ISNUMBER(FIND("01",Criterios!A8,1)),ISNUMBER(FIND("02",Criterios!A8,1)),ISNUMBER(FIND("03",Criterios!A8,1)),ISNUMBER(FIND("04",Criterios!A8,1))),(J19-Y19+K19)/(F19-K19),(I19-Y19+K19)/(F19-K19))</f>
        <v>-1.2347826086956522</v>
      </c>
      <c r="AR19" s="834">
        <f>IF(ISNUMBER((Datos!P19-Datos!Q19+O19)/(Datos!R19-Datos!P19+Datos!Q19-O19)),(Datos!P19-Datos!Q19+O19)/(Datos!R19-Datos!P19+Datos!Q19-O19)," - ")</f>
        <v>1.5021459227467811E-2</v>
      </c>
      <c r="AS19" s="835">
        <f>SUBTOTAL(9,AS9:AS18)</f>
        <v>0</v>
      </c>
      <c r="AT19" s="835">
        <f>SUBTOTAL(9,AT9:AT18)</f>
        <v>0</v>
      </c>
      <c r="AU19" s="835">
        <f>SUBTOTAL(9,AU9:AU18)</f>
        <v>0</v>
      </c>
      <c r="AV19" s="835">
        <f>SUBTOTAL(9,AV9:AV18)</f>
        <v>0</v>
      </c>
      <c r="AW19" s="836"/>
      <c r="AX19" s="837"/>
      <c r="BU19" s="919"/>
    </row>
    <row r="20" spans="1:73"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56.4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3" ht="18.75" hidden="1" customHeight="1" thickTop="1" thickBot="1">
      <c r="A21" s="168"/>
      <c r="B21" s="168"/>
      <c r="C21" s="530" t="s">
        <v>265</v>
      </c>
      <c r="D21" s="341"/>
      <c r="E21" s="580"/>
      <c r="F21" s="252">
        <f>IF(ISNUMBER(STDEV(F8:F18)),STDEV(F8:F18),"-")</f>
        <v>64.085879880048466</v>
      </c>
      <c r="G21" s="552">
        <f>IF(ISNUMBER(STDEV(G8:G18)),STDEV(G8:G18),"-")</f>
        <v>71.002112644624873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8.5322916030806173</v>
      </c>
      <c r="AK21" s="252"/>
      <c r="AL21" s="252">
        <f>IF(ISNUMBER(STDEV(AL8:AL18)),STDEV(AL8:AL18),"-")</f>
        <v>0</v>
      </c>
      <c r="AM21" s="254">
        <f>IF(ISNUMBER(STDEV(AM8:AM18)),STDEV(AM8:AM18),"-")</f>
        <v>0</v>
      </c>
      <c r="AN21" s="539">
        <f>IF(ISNUMBER(STDEV(AN8:AN18)),STDEV(AN8:AN18),"-")</f>
        <v>0</v>
      </c>
      <c r="AO21" s="540">
        <f>IF(ISNUMBER(STDEV(AO8:AO18)),STDEV(AO8:AO18),"-")</f>
        <v>3.7360528438834546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3"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3"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3"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3"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3"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3">
      <c r="C27" s="534"/>
      <c r="D27" s="71"/>
      <c r="E27" s="71"/>
    </row>
    <row r="30" spans="1:73">
      <c r="C30" s="535" t="str">
        <f>Criterios!A4</f>
        <v>Fecha Informe: 29 may. 2024</v>
      </c>
    </row>
    <row r="32" spans="1:73" ht="13.5" thickBot="1">
      <c r="C32" s="536"/>
      <c r="D32" s="527"/>
      <c r="E32" s="527"/>
    </row>
    <row r="33" spans="12:12" ht="15" thickBot="1">
      <c r="L33" s="546"/>
    </row>
  </sheetData>
  <sheetProtection algorithmName="SHA-512" hashValue="YRdjtR6fSyW96NVqYajfPW3W0OYShblFBlSGlTM+/3TdaWBxLXuiWH9/2S6QapIhkhRPoBFf5bhYSF6kcbWT4g==" saltValue="7NVIMeeS4pR+F8gfcEH2ng=="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1</v>
      </c>
      <c r="H3" s="627"/>
      <c r="I3" s="627"/>
      <c r="J3" s="627"/>
      <c r="K3" s="628"/>
      <c r="L3" s="628"/>
      <c r="M3" s="628"/>
      <c r="N3" s="628"/>
      <c r="O3" s="628"/>
      <c r="P3" s="628"/>
      <c r="Q3" s="628"/>
    </row>
    <row r="4" spans="1:18" ht="42" customHeight="1" thickBot="1">
      <c r="A4" s="1538" t="s">
        <v>629</v>
      </c>
      <c r="B4" s="1538" t="s">
        <v>733</v>
      </c>
      <c r="C4" s="1538" t="s">
        <v>630</v>
      </c>
      <c r="D4" s="1538" t="s">
        <v>691</v>
      </c>
      <c r="E4" s="1540" t="s">
        <v>692</v>
      </c>
      <c r="F4" s="1538" t="s">
        <v>631</v>
      </c>
      <c r="G4" s="1540" t="s">
        <v>452</v>
      </c>
      <c r="H4" s="1533" t="s">
        <v>632</v>
      </c>
      <c r="I4" s="1533" t="s">
        <v>633</v>
      </c>
      <c r="J4" s="1533" t="s">
        <v>634</v>
      </c>
      <c r="K4" s="1535" t="s">
        <v>272</v>
      </c>
      <c r="L4" s="1536"/>
      <c r="M4" s="1536"/>
      <c r="N4" s="1537"/>
      <c r="O4" s="1535" t="s">
        <v>447</v>
      </c>
      <c r="P4" s="1536"/>
      <c r="Q4" s="1536"/>
      <c r="R4" s="1537"/>
    </row>
    <row r="5" spans="1:18" ht="27.75" customHeight="1" thickBot="1">
      <c r="A5" s="1539"/>
      <c r="B5" s="1539"/>
      <c r="C5" s="1539"/>
      <c r="D5" s="1539"/>
      <c r="E5" s="1539"/>
      <c r="F5" s="1539"/>
      <c r="G5" s="1539"/>
      <c r="H5" s="1534"/>
      <c r="I5" s="1534"/>
      <c r="J5" s="1534"/>
      <c r="K5" s="846" t="s">
        <v>448</v>
      </c>
      <c r="L5" s="846" t="s">
        <v>449</v>
      </c>
      <c r="M5" s="846" t="s">
        <v>450</v>
      </c>
      <c r="N5" s="846" t="s">
        <v>451</v>
      </c>
      <c r="O5" s="847" t="s">
        <v>448</v>
      </c>
      <c r="P5" s="846" t="s">
        <v>449</v>
      </c>
      <c r="Q5" s="846" t="s">
        <v>450</v>
      </c>
      <c r="R5" s="846" t="s">
        <v>451</v>
      </c>
    </row>
  </sheetData>
  <sheetProtection algorithmName="SHA-512" hashValue="DY2uJC3d5/TqaIF07tGEnQpgVtlRDtAMfqeEusWVJxwTv1+1Y/aCq8P6ScaYW2HJsq6RjI2fjGujvVaNRstyrg==" saltValue="bIsZYgIfWZ2vVID6sBC11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Y27"/>
  <sheetViews>
    <sheetView topLeftCell="EK1" zoomScale="85" zoomScaleNormal="85" workbookViewId="0">
      <selection activeCell="EY1" sqref="EY1:EY1048576"/>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5"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5">
      <c r="A2" s="95">
        <f>Criterios!C8</f>
        <v>0</v>
      </c>
      <c r="B2">
        <f>Criterios!B8</f>
        <v>0</v>
      </c>
    </row>
    <row r="3" spans="1:155" ht="13.5" thickBot="1">
      <c r="A3" t="str">
        <f>Criterios!A9</f>
        <v>Tribunales de Justicia</v>
      </c>
      <c r="B3" t="str">
        <f>Criterios!B9</f>
        <v>ASTURIAS</v>
      </c>
    </row>
    <row r="4" spans="1:155" ht="13.5" thickBot="1">
      <c r="A4" t="str">
        <f>Criterios!A10</f>
        <v>Provincias</v>
      </c>
      <c r="B4" t="str">
        <f>Criterios!B10</f>
        <v>ASTURIAS</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317</v>
      </c>
      <c r="BN5" s="1245" t="s">
        <v>201</v>
      </c>
      <c r="BO5" s="1246"/>
      <c r="BP5" s="1245" t="s">
        <v>202</v>
      </c>
      <c r="BQ5" s="1246"/>
      <c r="BR5" s="1245" t="s">
        <v>203</v>
      </c>
      <c r="BS5" s="1246"/>
      <c r="BT5" s="1245" t="s">
        <v>204</v>
      </c>
      <c r="BU5" s="1246"/>
      <c r="BV5" s="1412" t="s">
        <v>272</v>
      </c>
      <c r="BW5" s="1418" t="s">
        <v>252</v>
      </c>
      <c r="BX5" s="1418"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425</v>
      </c>
      <c r="CL5" s="1382" t="s">
        <v>426</v>
      </c>
      <c r="CM5" s="1382" t="s">
        <v>443</v>
      </c>
      <c r="CN5" s="1463" t="s">
        <v>370</v>
      </c>
      <c r="CO5" s="1463" t="s">
        <v>363</v>
      </c>
      <c r="CP5" s="1463" t="s">
        <v>369</v>
      </c>
      <c r="CQ5" s="1478" t="s">
        <v>368</v>
      </c>
      <c r="CR5" s="1478" t="s">
        <v>368</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480</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589</v>
      </c>
      <c r="ED5" s="1389" t="s">
        <v>590</v>
      </c>
      <c r="EE5" s="1389" t="s">
        <v>623</v>
      </c>
      <c r="EF5" s="1389" t="s">
        <v>627</v>
      </c>
      <c r="EG5" s="1358" t="s">
        <v>625</v>
      </c>
      <c r="EH5" s="1358" t="s">
        <v>626</v>
      </c>
      <c r="EI5" s="1358" t="s">
        <v>592</v>
      </c>
      <c r="EJ5" s="1358" t="s">
        <v>593</v>
      </c>
      <c r="EK5" s="1373" t="s">
        <v>670</v>
      </c>
      <c r="EL5" s="1376" t="s">
        <v>686</v>
      </c>
      <c r="EM5" s="1377"/>
      <c r="EN5" s="1378"/>
      <c r="EO5" s="1370" t="s">
        <v>743</v>
      </c>
      <c r="EP5" s="1370" t="s">
        <v>745</v>
      </c>
      <c r="EQ5" s="1370" t="s">
        <v>746</v>
      </c>
      <c r="ER5" s="1370" t="s">
        <v>754</v>
      </c>
      <c r="ES5" s="1370" t="s">
        <v>756</v>
      </c>
      <c r="ET5" s="1367" t="s">
        <v>820</v>
      </c>
      <c r="EU5" s="1367" t="s">
        <v>821</v>
      </c>
      <c r="EV5" s="1475" t="s">
        <v>837</v>
      </c>
      <c r="EW5" s="1475" t="s">
        <v>842</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t="s">
        <v>161</v>
      </c>
      <c r="BO6" s="1243" t="s">
        <v>162</v>
      </c>
      <c r="BP6" s="1243" t="s">
        <v>161</v>
      </c>
      <c r="BQ6" s="1243" t="s">
        <v>162</v>
      </c>
      <c r="BR6" s="1243" t="s">
        <v>161</v>
      </c>
      <c r="BS6" s="1243" t="s">
        <v>162</v>
      </c>
      <c r="BT6" s="1243" t="s">
        <v>161</v>
      </c>
      <c r="BU6" s="1243" t="s">
        <v>162</v>
      </c>
      <c r="BV6" s="1413"/>
      <c r="BW6" s="1419"/>
      <c r="BX6" s="1419"/>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374"/>
      <c r="EL6" s="1379"/>
      <c r="EM6" s="1380"/>
      <c r="EN6" s="1381"/>
      <c r="EO6" s="1371"/>
      <c r="EP6" s="1371"/>
      <c r="EQ6" s="1371"/>
      <c r="ER6" s="1371"/>
      <c r="ES6" s="1371"/>
      <c r="ET6" s="1368"/>
      <c r="EU6" s="1368"/>
      <c r="EV6" s="1476"/>
      <c r="EW6" s="1476"/>
      <c r="EX6" s="1473"/>
      <c r="EY6" s="1467"/>
    </row>
    <row r="7" spans="1:155" ht="87" customHeight="1" thickBot="1">
      <c r="A7" s="69" t="s">
        <v>742</v>
      </c>
      <c r="B7" s="1426"/>
      <c r="C7" s="1429"/>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20"/>
      <c r="BX7" s="1420"/>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375"/>
      <c r="EL7" s="641" t="s">
        <v>687</v>
      </c>
      <c r="EM7" s="641" t="s">
        <v>95</v>
      </c>
      <c r="EN7" s="641" t="s">
        <v>96</v>
      </c>
      <c r="EO7" s="1372"/>
      <c r="EP7" s="1372"/>
      <c r="EQ7" s="1372"/>
      <c r="ER7" s="1372"/>
      <c r="ES7" s="1372"/>
      <c r="ET7" s="1369"/>
      <c r="EU7" s="1369"/>
      <c r="EV7" s="1477"/>
      <c r="EW7" s="1477"/>
      <c r="EX7" s="1474"/>
      <c r="EY7" s="1468"/>
    </row>
    <row r="8" spans="1:155"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row>
    <row r="9" spans="1:155"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row>
    <row r="10" spans="1:155"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row>
    <row r="11" spans="1:155"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row>
    <row r="12" spans="1:155"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row>
    <row r="13" spans="1:155"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row>
    <row r="14" spans="1:155"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row>
    <row r="16" spans="1:155"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row>
    <row r="17" spans="1:155"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row>
    <row r="18" spans="1:155"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qdCOAO1r9NkqexwPYflPy/8X0QdEYWva7/Eb9astztaFxd498bgUEQGUuRaeGf8c7BOKEVndDYh2GHX1DuJ+wg==" saltValue="l5V2+lJU2mWSnaVOZK4y5w==" spinCount="100000" sheet="1" objects="1" scenarios="1"/>
  <mergeCells count="123">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DC5:DC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60" stopIfTrue="1" operator="equal">
      <formula>$A$30</formula>
    </cfRule>
  </conditionalFormatting>
  <conditionalFormatting sqref="I13:BC14 I18:BC18 I19:ER19 EX19:EY19">
    <cfRule type="cellIs" dxfId="263" priority="1651" stopIfTrue="1" operator="equal">
      <formula>$A$31</formula>
    </cfRule>
  </conditionalFormatting>
  <conditionalFormatting sqref="I1:DG1">
    <cfRule type="cellIs" dxfId="262" priority="1951" stopIfTrue="1" operator="equal">
      <formula>$A$31</formula>
    </cfRule>
  </conditionalFormatting>
  <conditionalFormatting sqref="I8:EY8">
    <cfRule type="cellIs" dxfId="261" priority="22"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Y12">
    <cfRule type="cellIs" dxfId="260" priority="402" stopIfTrue="1" operator="equal">
      <formula>$A$31</formula>
    </cfRule>
  </conditionalFormatting>
  <conditionalFormatting sqref="AO11:AS11">
    <cfRule type="cellIs" dxfId="259" priority="1995" stopIfTrue="1" operator="equal">
      <formula>$A$30</formula>
    </cfRule>
  </conditionalFormatting>
  <conditionalFormatting sqref="AP16:AS16">
    <cfRule type="cellIs" dxfId="258" priority="1746" stopIfTrue="1" operator="equal">
      <formula>$A$30</formula>
    </cfRule>
  </conditionalFormatting>
  <conditionalFormatting sqref="AS15:AS16">
    <cfRule type="cellIs" dxfId="257" priority="1670" stopIfTrue="1" operator="equal">
      <formula>$A$30</formula>
    </cfRule>
    <cfRule type="cellIs" dxfId="256" priority="1742" stopIfTrue="1" operator="equal">
      <formula>$A$30</formula>
    </cfRule>
  </conditionalFormatting>
  <conditionalFormatting sqref="AS15:AS17">
    <cfRule type="cellIs" dxfId="255" priority="1738" stopIfTrue="1" operator="equal">
      <formula>$A$31</formula>
    </cfRule>
    <cfRule type="cellIs" dxfId="254" priority="1741" stopIfTrue="1" operator="equal">
      <formula>$A$31</formula>
    </cfRule>
  </conditionalFormatting>
  <conditionalFormatting sqref="AS16">
    <cfRule type="cellIs" dxfId="253" priority="1739" stopIfTrue="1" operator="equal">
      <formula>$A$30</formula>
    </cfRule>
  </conditionalFormatting>
  <conditionalFormatting sqref="AU15">
    <cfRule type="cellIs" dxfId="252" priority="1423" stopIfTrue="1" operator="equal">
      <formula>$A$31</formula>
    </cfRule>
    <cfRule type="cellIs" dxfId="251" priority="1425" stopIfTrue="1" operator="equal">
      <formula>$A$30</formula>
    </cfRule>
    <cfRule type="cellIs" dxfId="250" priority="1426" stopIfTrue="1" operator="equal">
      <formula>$A$31</formula>
    </cfRule>
    <cfRule type="cellIs" dxfId="249" priority="1428" stopIfTrue="1" operator="equal">
      <formula>$A$30</formula>
    </cfRule>
    <cfRule type="cellIs" dxfId="248" priority="1429" stopIfTrue="1" operator="equal">
      <formula>$A$31</formula>
    </cfRule>
    <cfRule type="cellIs" dxfId="247" priority="1431" stopIfTrue="1" operator="equal">
      <formula>$A$30</formula>
    </cfRule>
    <cfRule type="cellIs" dxfId="246" priority="1432" stopIfTrue="1" operator="equal">
      <formula>$A$31</formula>
    </cfRule>
    <cfRule type="cellIs" dxfId="245" priority="1434" stopIfTrue="1" operator="equal">
      <formula>$A$30</formula>
    </cfRule>
    <cfRule type="cellIs" dxfId="244" priority="1435" stopIfTrue="1" operator="equal">
      <formula>$A$31</formula>
    </cfRule>
    <cfRule type="cellIs" dxfId="243" priority="1437" stopIfTrue="1" operator="equal">
      <formula>$A$30</formula>
    </cfRule>
    <cfRule type="cellIs" dxfId="242" priority="1438" stopIfTrue="1" operator="equal">
      <formula>$A$31</formula>
    </cfRule>
    <cfRule type="cellIs" dxfId="241" priority="1440" stopIfTrue="1" operator="equal">
      <formula>$A$30</formula>
    </cfRule>
    <cfRule type="cellIs" dxfId="240" priority="1441" stopIfTrue="1" operator="equal">
      <formula>$A$31</formula>
    </cfRule>
  </conditionalFormatting>
  <conditionalFormatting sqref="AU15:AU16">
    <cfRule type="cellIs" dxfId="239" priority="1394" stopIfTrue="1" operator="equal">
      <formula>$A$30</formula>
    </cfRule>
    <cfRule type="cellIs" dxfId="238" priority="1584" stopIfTrue="1" operator="equal">
      <formula>$A$30</formula>
    </cfRule>
  </conditionalFormatting>
  <conditionalFormatting sqref="AU16">
    <cfRule type="cellIs" dxfId="237" priority="1373" stopIfTrue="1" operator="equal">
      <formula>$A$30</formula>
    </cfRule>
    <cfRule type="cellIs" dxfId="236" priority="1374" stopIfTrue="1" operator="equal">
      <formula>$A$31</formula>
    </cfRule>
    <cfRule type="cellIs" dxfId="235" priority="1376" stopIfTrue="1" operator="equal">
      <formula>$A$30</formula>
    </cfRule>
    <cfRule type="cellIs" dxfId="234" priority="1377" stopIfTrue="1" operator="equal">
      <formula>$A$31</formula>
    </cfRule>
    <cfRule type="cellIs" dxfId="233" priority="1379" stopIfTrue="1" operator="equal">
      <formula>$A$30</formula>
    </cfRule>
    <cfRule type="cellIs" dxfId="232" priority="1380" stopIfTrue="1" operator="equal">
      <formula>$A$31</formula>
    </cfRule>
    <cfRule type="cellIs" dxfId="231" priority="1382" stopIfTrue="1" operator="equal">
      <formula>$A$30</formula>
    </cfRule>
    <cfRule type="cellIs" dxfId="230" priority="1383" stopIfTrue="1" operator="equal">
      <formula>$A$31</formula>
    </cfRule>
    <cfRule type="cellIs" dxfId="229" priority="1385" stopIfTrue="1" operator="equal">
      <formula>$A$30</formula>
    </cfRule>
    <cfRule type="cellIs" dxfId="228" priority="1386" stopIfTrue="1" operator="equal">
      <formula>$A$31</formula>
    </cfRule>
    <cfRule type="cellIs" dxfId="227" priority="1388" stopIfTrue="1" operator="equal">
      <formula>$A$30</formula>
    </cfRule>
    <cfRule type="cellIs" dxfId="226" priority="1389" stopIfTrue="1" operator="equal">
      <formula>$A$31</formula>
    </cfRule>
    <cfRule type="cellIs" dxfId="225" priority="1391" stopIfTrue="1" operator="equal">
      <formula>$A$30</formula>
    </cfRule>
    <cfRule type="cellIs" dxfId="224" priority="1392" stopIfTrue="1" operator="equal">
      <formula>$A$31</formula>
    </cfRule>
  </conditionalFormatting>
  <conditionalFormatting sqref="AU17">
    <cfRule type="cellIs" dxfId="223" priority="1322" stopIfTrue="1" operator="equal">
      <formula>$A$31</formula>
    </cfRule>
  </conditionalFormatting>
  <conditionalFormatting sqref="AW11">
    <cfRule type="cellIs" dxfId="222" priority="1549" stopIfTrue="1" operator="equal">
      <formula>$A$30</formula>
    </cfRule>
    <cfRule type="cellIs" dxfId="221" priority="1551" stopIfTrue="1" operator="equal">
      <formula>$A$30</formula>
    </cfRule>
    <cfRule type="cellIs" dxfId="220" priority="1553" stopIfTrue="1" operator="equal">
      <formula>$A$30</formula>
    </cfRule>
    <cfRule type="cellIs" dxfId="219" priority="1555" stopIfTrue="1" operator="equal">
      <formula>$A$30</formula>
    </cfRule>
    <cfRule type="cellIs" dxfId="218" priority="1557" stopIfTrue="1" operator="equal">
      <formula>$A$30</formula>
    </cfRule>
    <cfRule type="cellIs" dxfId="217" priority="1559" stopIfTrue="1" operator="equal">
      <formula>$A$30</formula>
    </cfRule>
    <cfRule type="cellIs" dxfId="216" priority="1561" stopIfTrue="1" operator="equal">
      <formula>$A$30</formula>
    </cfRule>
    <cfRule type="cellIs" dxfId="215" priority="1563" stopIfTrue="1" operator="equal">
      <formula>$A$30</formula>
    </cfRule>
    <cfRule type="cellIs" dxfId="214" priority="1565" stopIfTrue="1" operator="equal">
      <formula>$A$30</formula>
    </cfRule>
    <cfRule type="cellIs" dxfId="213" priority="1567" stopIfTrue="1" operator="equal">
      <formula>$A$30</formula>
    </cfRule>
    <cfRule type="cellIs" dxfId="212" priority="1569" stopIfTrue="1" operator="equal">
      <formula>$A$30</formula>
    </cfRule>
    <cfRule type="cellIs" dxfId="211" priority="1571" stopIfTrue="1" operator="equal">
      <formula>$A$30</formula>
    </cfRule>
    <cfRule type="cellIs" dxfId="210" priority="1573" stopIfTrue="1" operator="equal">
      <formula>$A$30</formula>
    </cfRule>
    <cfRule type="cellIs" dxfId="209" priority="1575" stopIfTrue="1" operator="equal">
      <formula>$A$30</formula>
    </cfRule>
    <cfRule type="cellIs" dxfId="208" priority="1577" stopIfTrue="1" operator="equal">
      <formula>$A$30</formula>
    </cfRule>
  </conditionalFormatting>
  <conditionalFormatting sqref="AW15">
    <cfRule type="cellIs" dxfId="207" priority="1404" stopIfTrue="1" operator="equal">
      <formula>$A$30</formula>
    </cfRule>
    <cfRule type="cellIs" dxfId="206" priority="1405" stopIfTrue="1" operator="equal">
      <formula>$A$31</formula>
    </cfRule>
    <cfRule type="cellIs" dxfId="205" priority="1407" stopIfTrue="1" operator="equal">
      <formula>$A$30</formula>
    </cfRule>
    <cfRule type="cellIs" dxfId="204" priority="1408" stopIfTrue="1" operator="equal">
      <formula>$A$31</formula>
    </cfRule>
    <cfRule type="cellIs" dxfId="203" priority="1410" stopIfTrue="1" operator="equal">
      <formula>$A$30</formula>
    </cfRule>
    <cfRule type="cellIs" dxfId="202" priority="1411" stopIfTrue="1" operator="equal">
      <formula>$A$31</formula>
    </cfRule>
    <cfRule type="cellIs" dxfId="201" priority="1413" stopIfTrue="1" operator="equal">
      <formula>$A$30</formula>
    </cfRule>
    <cfRule type="cellIs" dxfId="200" priority="1414" stopIfTrue="1" operator="equal">
      <formula>$A$31</formula>
    </cfRule>
    <cfRule type="cellIs" dxfId="199" priority="1416" stopIfTrue="1" operator="equal">
      <formula>$A$30</formula>
    </cfRule>
    <cfRule type="cellIs" dxfId="198" priority="1417" stopIfTrue="1" operator="equal">
      <formula>$A$31</formula>
    </cfRule>
    <cfRule type="cellIs" dxfId="197" priority="1419" stopIfTrue="1" operator="equal">
      <formula>$A$30</formula>
    </cfRule>
    <cfRule type="cellIs" dxfId="196" priority="1420" stopIfTrue="1" operator="equal">
      <formula>$A$31</formula>
    </cfRule>
  </conditionalFormatting>
  <conditionalFormatting sqref="AW15:AW16">
    <cfRule type="cellIs" dxfId="195" priority="1370" stopIfTrue="1" operator="equal">
      <formula>$A$30</formula>
    </cfRule>
    <cfRule type="cellIs" dxfId="194" priority="1371" stopIfTrue="1" operator="equal">
      <formula>$A$31</formula>
    </cfRule>
  </conditionalFormatting>
  <conditionalFormatting sqref="AW16">
    <cfRule type="cellIs" dxfId="193" priority="1352" stopIfTrue="1" operator="equal">
      <formula>$A$30</formula>
    </cfRule>
    <cfRule type="cellIs" dxfId="192" priority="1353" stopIfTrue="1" operator="equal">
      <formula>$A$31</formula>
    </cfRule>
    <cfRule type="cellIs" dxfId="191" priority="1355" stopIfTrue="1" operator="equal">
      <formula>$A$30</formula>
    </cfRule>
    <cfRule type="cellIs" dxfId="190" priority="1356" stopIfTrue="1" operator="equal">
      <formula>$A$31</formula>
    </cfRule>
    <cfRule type="cellIs" dxfId="189" priority="1358" stopIfTrue="1" operator="equal">
      <formula>$A$30</formula>
    </cfRule>
    <cfRule type="cellIs" dxfId="188" priority="1359" stopIfTrue="1" operator="equal">
      <formula>$A$31</formula>
    </cfRule>
    <cfRule type="cellIs" dxfId="187" priority="1361" stopIfTrue="1" operator="equal">
      <formula>$A$30</formula>
    </cfRule>
    <cfRule type="cellIs" dxfId="186" priority="1362" stopIfTrue="1" operator="equal">
      <formula>$A$31</formula>
    </cfRule>
    <cfRule type="cellIs" dxfId="185" priority="1364" stopIfTrue="1" operator="equal">
      <formula>$A$30</formula>
    </cfRule>
    <cfRule type="cellIs" dxfId="184" priority="1365" stopIfTrue="1" operator="equal">
      <formula>$A$31</formula>
    </cfRule>
    <cfRule type="cellIs" dxfId="183" priority="1367" stopIfTrue="1" operator="equal">
      <formula>$A$30</formula>
    </cfRule>
    <cfRule type="cellIs" dxfId="182" priority="1368" stopIfTrue="1" operator="equal">
      <formula>$A$31</formula>
    </cfRule>
  </conditionalFormatting>
  <conditionalFormatting sqref="AW17">
    <cfRule type="cellIs" dxfId="181" priority="1293" stopIfTrue="1" operator="equal">
      <formula>$A$31</formula>
    </cfRule>
  </conditionalFormatting>
  <conditionalFormatting sqref="BD14:BG14">
    <cfRule type="cellIs" dxfId="180" priority="1994" stopIfTrue="1" operator="equal">
      <formula>$A$31</formula>
    </cfRule>
  </conditionalFormatting>
  <conditionalFormatting sqref="BH18:ES18">
    <cfRule type="cellIs" dxfId="179" priority="88" stopIfTrue="1" operator="equal">
      <formula>$A$31</formula>
    </cfRule>
  </conditionalFormatting>
  <conditionalFormatting sqref="BH13:EY14">
    <cfRule type="cellIs" dxfId="178" priority="17" stopIfTrue="1" operator="equal">
      <formula>$A$31</formula>
    </cfRule>
  </conditionalFormatting>
  <conditionalFormatting sqref="BK12:BX12">
    <cfRule type="cellIs" dxfId="177" priority="1993" stopIfTrue="1" operator="equal">
      <formula>$A$31</formula>
    </cfRule>
  </conditionalFormatting>
  <conditionalFormatting sqref="BK17:CJ17">
    <cfRule type="cellIs" dxfId="176" priority="578" stopIfTrue="1" operator="equal">
      <formula>$A$31</formula>
    </cfRule>
  </conditionalFormatting>
  <conditionalFormatting sqref="BN16:BU16">
    <cfRule type="cellIs" dxfId="175" priority="1986" stopIfTrue="1" operator="equal">
      <formula>$A$30</formula>
    </cfRule>
  </conditionalFormatting>
  <conditionalFormatting sqref="BT16:BU16">
    <cfRule type="cellIs" dxfId="174" priority="1992" stopIfTrue="1" operator="equal">
      <formula>$A$31</formula>
    </cfRule>
  </conditionalFormatting>
  <conditionalFormatting sqref="BY11:BZ11">
    <cfRule type="cellIs" dxfId="173" priority="581" stopIfTrue="1" operator="equal">
      <formula>$A$30</formula>
    </cfRule>
  </conditionalFormatting>
  <conditionalFormatting sqref="BY12:CJ12">
    <cfRule type="cellIs" dxfId="172" priority="580" stopIfTrue="1" operator="equal">
      <formula>$A$31</formula>
    </cfRule>
  </conditionalFormatting>
  <conditionalFormatting sqref="BY16:CJ16">
    <cfRule type="cellIs" dxfId="171" priority="579" stopIfTrue="1" operator="equal">
      <formula>$A$30</formula>
    </cfRule>
  </conditionalFormatting>
  <conditionalFormatting sqref="DB15">
    <cfRule type="cellIs" dxfId="170" priority="1756" stopIfTrue="1" operator="equal">
      <formula>$A$30</formula>
    </cfRule>
    <cfRule type="cellIs" dxfId="169" priority="1973" stopIfTrue="1" operator="equal">
      <formula>$A$30</formula>
    </cfRule>
  </conditionalFormatting>
  <conditionalFormatting sqref="DB15:DE17">
    <cfRule type="cellIs" dxfId="168" priority="1964" stopIfTrue="1" operator="equal">
      <formula>$A$31</formula>
    </cfRule>
    <cfRule type="cellIs" dxfId="167" priority="1968" stopIfTrue="1" operator="equal">
      <formula>$A$31</formula>
    </cfRule>
  </conditionalFormatting>
  <conditionalFormatting sqref="DB16:DE16">
    <cfRule type="cellIs" dxfId="166" priority="1758" stopIfTrue="1" operator="equal">
      <formula>$A$30</formula>
    </cfRule>
    <cfRule type="cellIs" dxfId="165" priority="1966" stopIfTrue="1" operator="equal">
      <formula>$A$30</formula>
    </cfRule>
    <cfRule type="cellIs" dxfId="164" priority="1975" stopIfTrue="1" operator="equal">
      <formula>$A$30</formula>
    </cfRule>
  </conditionalFormatting>
  <conditionalFormatting sqref="DB16:DF16">
    <cfRule type="cellIs" dxfId="163" priority="1945" stopIfTrue="1" operator="equal">
      <formula>$A$30</formula>
    </cfRule>
  </conditionalFormatting>
  <conditionalFormatting sqref="DE17">
    <cfRule type="cellIs" dxfId="162" priority="1797" stopIfTrue="1" operator="equal">
      <formula>$A$30</formula>
    </cfRule>
    <cfRule type="cellIs" dxfId="161" priority="1972" stopIfTrue="1" operator="equal">
      <formula>$A$30</formula>
    </cfRule>
  </conditionalFormatting>
  <conditionalFormatting sqref="DF15:DF17">
    <cfRule type="cellIs" dxfId="160" priority="1934" stopIfTrue="1" operator="equal">
      <formula>$A$31</formula>
    </cfRule>
    <cfRule type="cellIs" dxfId="159" priority="1937" stopIfTrue="1" operator="equal">
      <formula>$A$31</formula>
    </cfRule>
  </conditionalFormatting>
  <conditionalFormatting sqref="DF16">
    <cfRule type="cellIs" dxfId="158" priority="1935" stopIfTrue="1" operator="equal">
      <formula>$A$30</formula>
    </cfRule>
  </conditionalFormatting>
  <conditionalFormatting sqref="DF16:DF17">
    <cfRule type="cellIs" dxfId="157" priority="1768" stopIfTrue="1" operator="equal">
      <formula>$A$30</formula>
    </cfRule>
    <cfRule type="cellIs" dxfId="156" priority="1941" stopIfTrue="1" operator="equal">
      <formula>$A$30</formula>
    </cfRule>
  </conditionalFormatting>
  <conditionalFormatting sqref="DG16">
    <cfRule type="cellIs" dxfId="155" priority="652" stopIfTrue="1" operator="equal">
      <formula>$A$30</formula>
    </cfRule>
  </conditionalFormatting>
  <conditionalFormatting sqref="DM1:EA1">
    <cfRule type="cellIs" dxfId="154" priority="522" stopIfTrue="1" operator="equal">
      <formula>$A$31</formula>
    </cfRule>
  </conditionalFormatting>
  <conditionalFormatting sqref="DM15:EK17">
    <cfRule type="cellIs" dxfId="153" priority="517" stopIfTrue="1" operator="equal">
      <formula>$A$31</formula>
    </cfRule>
  </conditionalFormatting>
  <conditionalFormatting sqref="EL15:EN17">
    <cfRule type="cellIs" dxfId="152" priority="404" stopIfTrue="1" operator="equal">
      <formula>$A$31</formula>
    </cfRule>
  </conditionalFormatting>
  <conditionalFormatting sqref="EO11:ER11">
    <cfRule type="cellIs" dxfId="151" priority="198" stopIfTrue="1" operator="equal">
      <formula>$A$30</formula>
    </cfRule>
  </conditionalFormatting>
  <conditionalFormatting sqref="EO15:ER17">
    <cfRule type="cellIs" dxfId="150" priority="196" stopIfTrue="1" operator="equal">
      <formula>$A$31</formula>
    </cfRule>
  </conditionalFormatting>
  <conditionalFormatting sqref="EO15:ES16">
    <cfRule type="cellIs" dxfId="149" priority="132" stopIfTrue="1" operator="equal">
      <formula>$A$30</formula>
    </cfRule>
  </conditionalFormatting>
  <conditionalFormatting sqref="ES11">
    <cfRule type="cellIs" dxfId="148" priority="143" stopIfTrue="1" operator="equal">
      <formula>$A$30</formula>
    </cfRule>
  </conditionalFormatting>
  <conditionalFormatting sqref="ES15:ES17">
    <cfRule type="cellIs" dxfId="147" priority="134" stopIfTrue="1" operator="equal">
      <formula>$A$31</formula>
    </cfRule>
  </conditionalFormatting>
  <conditionalFormatting sqref="ES16">
    <cfRule type="cellIs" dxfId="146" priority="135" stopIfTrue="1" operator="equal">
      <formula>$A$30</formula>
    </cfRule>
  </conditionalFormatting>
  <conditionalFormatting sqref="EU18:EY18">
    <cfRule type="cellIs" dxfId="145" priority="19" stopIfTrue="1" operator="equal">
      <formula>$A$31</formula>
    </cfRule>
  </conditionalFormatting>
  <conditionalFormatting sqref="EV11:EW11">
    <cfRule type="cellIs" dxfId="144" priority="49" stopIfTrue="1" operator="equal">
      <formula>$A$30</formula>
    </cfRule>
  </conditionalFormatting>
  <conditionalFormatting sqref="EX15:EY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W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16384" width="11.42578125" style="645"/>
  </cols>
  <sheetData>
    <row r="1" spans="1:75">
      <c r="C1" s="644" t="str">
        <f>Criterios!A9 &amp;"  "&amp;Criterios!B9</f>
        <v>Tribunales de Justicia  ASTURIAS</v>
      </c>
    </row>
    <row r="2" spans="1:75" ht="16.5" customHeight="1">
      <c r="C2" s="488" t="str">
        <f>Criterios!A10 &amp;"  "&amp;Criterios!B10 &amp; "  " &amp; IF(NOT(ISBLANK(Criterios!A11)),Criterios!A11 &amp;"  "&amp;Criterios!B11,"")</f>
        <v>Provincias  ASTURIAS  Resumenes por Partidos Judiciales  TINEO</v>
      </c>
      <c r="D2" s="644"/>
      <c r="E2" s="649"/>
      <c r="F2" s="649"/>
      <c r="G2" s="650"/>
      <c r="I2" s="649"/>
      <c r="J2" s="651"/>
      <c r="K2" s="649"/>
      <c r="L2" s="649"/>
      <c r="M2" s="652"/>
      <c r="N2" s="652"/>
      <c r="O2" s="649"/>
      <c r="S2" s="649"/>
      <c r="T2" s="653"/>
    </row>
    <row r="3" spans="1:75" ht="21.75" customHeight="1">
      <c r="C3" s="654"/>
      <c r="D3" s="655"/>
      <c r="G3" s="650"/>
      <c r="I3" s="649"/>
    </row>
    <row r="4" spans="1:75"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row>
    <row r="5" spans="1:75" ht="15.75" customHeight="1">
      <c r="A5" s="1283" t="s">
        <v>351</v>
      </c>
      <c r="B5" s="272"/>
      <c r="C5" s="1283" t="str">
        <f>"Año:  " &amp;Criterios!B$5 &amp; "          Trimestre   " &amp;Criterios!D$5 &amp; " al " &amp;Criterios!D$6</f>
        <v>Año:  2024          Trimestre   1 al 1</v>
      </c>
      <c r="D5" s="1490" t="s">
        <v>376</v>
      </c>
      <c r="E5" s="1490" t="s">
        <v>560</v>
      </c>
      <c r="F5" s="1519" t="s">
        <v>406</v>
      </c>
      <c r="G5" s="1490" t="s">
        <v>128</v>
      </c>
      <c r="H5" s="1490" t="s">
        <v>590</v>
      </c>
      <c r="I5" s="1490" t="s">
        <v>561</v>
      </c>
      <c r="J5" s="1490" t="s">
        <v>664</v>
      </c>
      <c r="K5" s="1490" t="s">
        <v>562</v>
      </c>
      <c r="L5" s="1490" t="s">
        <v>530</v>
      </c>
      <c r="M5" s="1522" t="s">
        <v>588</v>
      </c>
      <c r="N5" s="1490" t="s">
        <v>719</v>
      </c>
      <c r="O5" s="1490" t="s">
        <v>679</v>
      </c>
      <c r="P5" s="1490" t="s">
        <v>168</v>
      </c>
      <c r="Q5" s="1525" t="s">
        <v>676</v>
      </c>
      <c r="R5" s="1525" t="s">
        <v>720</v>
      </c>
      <c r="S5" s="1490" t="s">
        <v>591</v>
      </c>
      <c r="T5" s="1525" t="s">
        <v>563</v>
      </c>
      <c r="U5" s="1525" t="s">
        <v>770</v>
      </c>
      <c r="V5" s="1525" t="s">
        <v>771</v>
      </c>
      <c r="W5" s="1508" t="s">
        <v>613</v>
      </c>
      <c r="X5" s="1511" t="s">
        <v>564</v>
      </c>
      <c r="Y5" s="1508" t="s">
        <v>565</v>
      </c>
      <c r="Z5" s="1508" t="s">
        <v>566</v>
      </c>
      <c r="AA5" s="1490" t="s">
        <v>680</v>
      </c>
      <c r="AB5" s="1490" t="s">
        <v>685</v>
      </c>
      <c r="AC5" s="1490" t="s">
        <v>182</v>
      </c>
      <c r="AD5" s="1496" t="s">
        <v>180</v>
      </c>
      <c r="AE5" s="1490" t="s">
        <v>681</v>
      </c>
      <c r="AF5" s="1499" t="s">
        <v>682</v>
      </c>
      <c r="AG5" s="1502" t="s">
        <v>539</v>
      </c>
      <c r="AH5" s="1490" t="s">
        <v>540</v>
      </c>
      <c r="AI5" s="1490" t="s">
        <v>611</v>
      </c>
      <c r="AJ5" s="1505" t="s">
        <v>612</v>
      </c>
      <c r="AK5" s="1502" t="s">
        <v>183</v>
      </c>
      <c r="AL5" s="1490" t="s">
        <v>570</v>
      </c>
      <c r="AM5" s="1490" t="s">
        <v>247</v>
      </c>
      <c r="AN5" s="1490" t="s">
        <v>248</v>
      </c>
      <c r="AO5" s="1490" t="s">
        <v>249</v>
      </c>
      <c r="AP5" s="1490" t="s">
        <v>571</v>
      </c>
      <c r="AQ5" s="1490" t="s">
        <v>250</v>
      </c>
      <c r="AR5" s="1490" t="s">
        <v>572</v>
      </c>
      <c r="AS5" s="1490" t="s">
        <v>573</v>
      </c>
      <c r="AT5" s="1490" t="s">
        <v>574</v>
      </c>
      <c r="AU5" s="1490" t="s">
        <v>599</v>
      </c>
      <c r="AV5" s="1490" t="s">
        <v>592</v>
      </c>
      <c r="AW5" s="1490" t="s">
        <v>838</v>
      </c>
      <c r="AX5" s="1490" t="s">
        <v>841</v>
      </c>
      <c r="AY5" s="1490" t="s">
        <v>843</v>
      </c>
      <c r="AZ5" s="1490" t="s">
        <v>593</v>
      </c>
      <c r="BA5" s="1490" t="s">
        <v>859</v>
      </c>
      <c r="BB5" s="1490" t="s">
        <v>575</v>
      </c>
      <c r="BC5" s="1490" t="s">
        <v>538</v>
      </c>
      <c r="BW5" s="1490" t="s">
        <v>772</v>
      </c>
    </row>
    <row r="6" spans="1:75" ht="21.75" customHeight="1">
      <c r="A6" s="1541"/>
      <c r="B6" s="659"/>
      <c r="C6" s="1543"/>
      <c r="D6" s="1491"/>
      <c r="E6" s="1491"/>
      <c r="F6" s="1520"/>
      <c r="G6" s="1491"/>
      <c r="H6" s="1491"/>
      <c r="I6" s="1491"/>
      <c r="J6" s="1491"/>
      <c r="K6" s="1491"/>
      <c r="L6" s="1491"/>
      <c r="M6" s="1523"/>
      <c r="N6" s="1491"/>
      <c r="O6" s="1491"/>
      <c r="P6" s="1491"/>
      <c r="Q6" s="1526"/>
      <c r="R6" s="1526"/>
      <c r="S6" s="1491"/>
      <c r="T6" s="1526"/>
      <c r="U6" s="1526"/>
      <c r="V6" s="1526"/>
      <c r="W6" s="1509"/>
      <c r="X6" s="1512"/>
      <c r="Y6" s="1509"/>
      <c r="Z6" s="1509"/>
      <c r="AA6" s="1491"/>
      <c r="AB6" s="1491"/>
      <c r="AC6" s="1491"/>
      <c r="AD6" s="1497"/>
      <c r="AE6" s="1491"/>
      <c r="AF6" s="1500"/>
      <c r="AG6" s="1503"/>
      <c r="AH6" s="1491"/>
      <c r="AI6" s="1491"/>
      <c r="AJ6" s="1506"/>
      <c r="AK6" s="1503"/>
      <c r="AL6" s="1491"/>
      <c r="AM6" s="1491"/>
      <c r="AN6" s="1491"/>
      <c r="AO6" s="1491"/>
      <c r="AP6" s="1491"/>
      <c r="AQ6" s="1491"/>
      <c r="AR6" s="1491"/>
      <c r="AS6" s="1491"/>
      <c r="AT6" s="1491"/>
      <c r="AU6" s="1491"/>
      <c r="AV6" s="1491"/>
      <c r="AW6" s="1491"/>
      <c r="AX6" s="1491"/>
      <c r="AY6" s="1491"/>
      <c r="AZ6" s="1491"/>
      <c r="BA6" s="1491"/>
      <c r="BB6" s="1491"/>
      <c r="BC6" s="1491"/>
      <c r="BW6" s="1491"/>
    </row>
    <row r="7" spans="1:75" ht="38.25" customHeight="1" thickBot="1">
      <c r="A7" s="1542"/>
      <c r="B7" s="660"/>
      <c r="C7" s="661" t="str">
        <f>DatosP!A7</f>
        <v>COMPETENCIAS</v>
      </c>
      <c r="D7" s="1492"/>
      <c r="E7" s="1492"/>
      <c r="F7" s="1521"/>
      <c r="G7" s="1492"/>
      <c r="H7" s="1492"/>
      <c r="I7" s="1492"/>
      <c r="J7" s="1492"/>
      <c r="K7" s="1492"/>
      <c r="L7" s="1492"/>
      <c r="M7" s="1524"/>
      <c r="N7" s="1492"/>
      <c r="O7" s="1492"/>
      <c r="P7" s="1492"/>
      <c r="Q7" s="1527"/>
      <c r="R7" s="1527"/>
      <c r="S7" s="1492"/>
      <c r="T7" s="1527"/>
      <c r="U7" s="1527"/>
      <c r="V7" s="1527"/>
      <c r="W7" s="1510"/>
      <c r="X7" s="1513"/>
      <c r="Y7" s="1510"/>
      <c r="Z7" s="1510"/>
      <c r="AA7" s="1492"/>
      <c r="AB7" s="1492"/>
      <c r="AC7" s="1492"/>
      <c r="AD7" s="1498"/>
      <c r="AE7" s="1492"/>
      <c r="AF7" s="1501"/>
      <c r="AG7" s="1504"/>
      <c r="AH7" s="1492"/>
      <c r="AI7" s="1492"/>
      <c r="AJ7" s="1507"/>
      <c r="AK7" s="1504"/>
      <c r="AL7" s="1492"/>
      <c r="AM7" s="1492"/>
      <c r="AN7" s="1492"/>
      <c r="AO7" s="1492"/>
      <c r="AP7" s="1492"/>
      <c r="AQ7" s="1492"/>
      <c r="AR7" s="1492"/>
      <c r="AS7" s="1492"/>
      <c r="AT7" s="1492"/>
      <c r="AU7" s="1492"/>
      <c r="AV7" s="1492"/>
      <c r="AW7" s="1492"/>
      <c r="AX7" s="1492"/>
      <c r="AY7" s="1492"/>
      <c r="AZ7" s="1492"/>
      <c r="BA7" s="1492"/>
      <c r="BB7" s="1492"/>
      <c r="BC7" s="1492"/>
      <c r="BW7" s="1492"/>
    </row>
    <row r="8" spans="1:75"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5"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row>
    <row r="10" spans="1:75"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row>
    <row r="11" spans="1:75"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row>
    <row r="12" spans="1:75"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row>
    <row r="13" spans="1:75"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0.17924528301886791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row>
    <row r="14" spans="1:75"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row>
    <row r="15" spans="1:75"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row>
    <row r="16" spans="1:75"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row>
    <row r="17" spans="1:75"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row>
    <row r="18" spans="1:75"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row>
    <row r="19" spans="1:75"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5"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5"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0.12674555511834343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5"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5"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5"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5"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5"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5">
      <c r="C27" s="71"/>
      <c r="D27" s="71"/>
    </row>
    <row r="30" spans="1:75">
      <c r="C30" s="645" t="str">
        <f>Criterios!A4</f>
        <v>Fecha Informe: 29 may. 2024</v>
      </c>
    </row>
    <row r="32" spans="1:75">
      <c r="C32" s="774"/>
      <c r="D32" s="774"/>
    </row>
  </sheetData>
  <sheetProtection algorithmName="SHA-512" hashValue="hqknFsHairfHwVAWpOvTpw6glWLvBSmAxKFtVPoJWIvsKOby1sgVyDiFudhtGVBUxEwrzpmlNXojWqfAfPq0eQ==" saltValue="UyzANU3gip3hVpNKgJtpwg=="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Q/OdoX1h7m/3CYNS7S/GvGcGuD38iypK0cOO/DRjYtKJMLlHaoS6N2stAV4Wgh+Y15pB6Cwa2a6WYE167MKiMA==" saltValue="VRri6hLJxakcbUJtdvbQk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M32"/>
  <sheetViews>
    <sheetView topLeftCell="C1" zoomScale="82" zoomScaleNormal="82" workbookViewId="0">
      <selection activeCell="H17" sqref="H17"/>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16384" width="11.42578125" style="645"/>
  </cols>
  <sheetData>
    <row r="1" spans="1:65">
      <c r="C1" s="644" t="str">
        <f>Criterios!A9 &amp;"  "&amp;Criterios!B9</f>
        <v>Tribunales de Justicia  ASTURIAS</v>
      </c>
      <c r="W1"/>
      <c r="X1"/>
    </row>
    <row r="2" spans="1:65" ht="16.5" customHeight="1">
      <c r="C2" s="488" t="str">
        <f>Criterios!A10 &amp;"  "&amp;Criterios!B10 &amp; "  " &amp; IF(NOT(ISBLANK(Criterios!A11)),Criterios!A11 &amp;"  "&amp;Criterios!B11,"")</f>
        <v>Provincias  ASTURIAS  Resumenes por Partidos Judiciales  TINEO</v>
      </c>
      <c r="D2" s="644"/>
      <c r="E2" s="649"/>
      <c r="F2" s="649"/>
      <c r="G2" s="650"/>
      <c r="H2" s="649"/>
      <c r="I2" s="651"/>
      <c r="J2" s="649"/>
      <c r="K2" s="649"/>
      <c r="L2" s="652"/>
      <c r="M2" s="652"/>
      <c r="N2" s="649"/>
      <c r="O2" s="649"/>
      <c r="S2" s="649"/>
      <c r="T2" s="649"/>
      <c r="U2" s="653"/>
      <c r="V2" s="653"/>
      <c r="W2" s="649"/>
      <c r="X2" s="649"/>
      <c r="Y2" s="782"/>
      <c r="BC2" s="262"/>
      <c r="BD2" s="262"/>
      <c r="BE2" s="649"/>
    </row>
    <row r="3" spans="1:65" ht="16.5" customHeight="1">
      <c r="C3" s="654"/>
      <c r="D3" s="655"/>
      <c r="G3" s="650"/>
      <c r="H3" s="649"/>
      <c r="W3"/>
      <c r="X3"/>
    </row>
    <row r="4" spans="1:65"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row>
    <row r="5" spans="1:65" ht="15.75" customHeight="1">
      <c r="A5" s="1283" t="s">
        <v>351</v>
      </c>
      <c r="B5" s="272"/>
      <c r="C5" s="1283" t="str">
        <f>"Año:  " &amp;Criterios!B$5 &amp; "          Trimestre   " &amp;Criterios!D$5 &amp; " al " &amp;Criterios!D$6</f>
        <v>Año:  2024          Trimestre   1 al 1</v>
      </c>
      <c r="D5" s="1490" t="s">
        <v>424</v>
      </c>
      <c r="E5" s="1490" t="s">
        <v>560</v>
      </c>
      <c r="F5" s="1519" t="s">
        <v>406</v>
      </c>
      <c r="G5" s="1490" t="s">
        <v>128</v>
      </c>
      <c r="H5" s="1490" t="s">
        <v>693</v>
      </c>
      <c r="I5" s="1490" t="s">
        <v>694</v>
      </c>
      <c r="J5" s="1490" t="s">
        <v>697</v>
      </c>
      <c r="K5" s="1490" t="s">
        <v>698</v>
      </c>
      <c r="L5" s="1490" t="s">
        <v>588</v>
      </c>
      <c r="M5" s="1490" t="s">
        <v>719</v>
      </c>
      <c r="N5" s="1490" t="s">
        <v>699</v>
      </c>
      <c r="O5" s="1490" t="s">
        <v>695</v>
      </c>
      <c r="P5" s="1490" t="s">
        <v>168</v>
      </c>
      <c r="Q5" s="1490" t="s">
        <v>676</v>
      </c>
      <c r="R5" s="1490" t="s">
        <v>720</v>
      </c>
      <c r="S5" s="1490" t="str">
        <f>"Ingreso Computable 2003" &amp; IF(OR(EXACT(LEFT(boletin,2),"04"),EXACT(LEFT(boletin,2),"14"),EXACT(LEFT(boletin,2),"17"))," (Civil + Penal)","")</f>
        <v>Ingreso Computable 2003</v>
      </c>
      <c r="T5" s="1490" t="s">
        <v>696</v>
      </c>
      <c r="U5" s="1525" t="str">
        <f>"% Ingreso Computable 2003" &amp; IF(OR(EXACT(LEFT(boletin,2),"04"),EXACT(LEFT(boletin,2),"14"),EXACT(LEFT(boletin,2),"17"))," (Civil + Penal)","")</f>
        <v>% Ingreso Computable 2003</v>
      </c>
      <c r="V5" s="1525" t="s">
        <v>700</v>
      </c>
      <c r="W5" s="1490" t="s">
        <v>764</v>
      </c>
      <c r="X5" s="1490" t="s">
        <v>765</v>
      </c>
      <c r="Y5" s="1493"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0" t="s">
        <v>705</v>
      </c>
      <c r="AG5" s="1490" t="s">
        <v>706</v>
      </c>
      <c r="AH5" s="1490" t="s">
        <v>707</v>
      </c>
      <c r="AI5" s="1490" t="s">
        <v>708</v>
      </c>
      <c r="AJ5" s="1490" t="s">
        <v>182</v>
      </c>
      <c r="AK5" s="1502" t="s">
        <v>539</v>
      </c>
      <c r="AL5" s="1502" t="s">
        <v>183</v>
      </c>
      <c r="AM5" s="1490" t="s">
        <v>570</v>
      </c>
      <c r="AN5" s="1490" t="s">
        <v>247</v>
      </c>
      <c r="AO5" s="1490" t="s">
        <v>248</v>
      </c>
      <c r="AP5" s="1490" t="s">
        <v>709</v>
      </c>
      <c r="AQ5" s="1490" t="s">
        <v>710</v>
      </c>
      <c r="AR5" s="1490" t="s">
        <v>711</v>
      </c>
      <c r="AS5" s="1490" t="s">
        <v>712</v>
      </c>
      <c r="AT5" s="1490" t="s">
        <v>713</v>
      </c>
      <c r="AU5" s="1490" t="s">
        <v>714</v>
      </c>
      <c r="AV5" s="1490" t="s">
        <v>715</v>
      </c>
      <c r="AW5" s="1490" t="s">
        <v>716</v>
      </c>
      <c r="AX5" s="1490" t="s">
        <v>838</v>
      </c>
      <c r="AY5" s="1490" t="s">
        <v>841</v>
      </c>
      <c r="AZ5" s="1490" t="s">
        <v>717</v>
      </c>
      <c r="BA5" s="1490" t="s">
        <v>718</v>
      </c>
      <c r="BB5" s="1490" t="s">
        <v>538</v>
      </c>
      <c r="BC5" s="1352" t="s">
        <v>725</v>
      </c>
      <c r="BD5" s="1352" t="s">
        <v>726</v>
      </c>
      <c r="BE5" s="1519" t="s">
        <v>727</v>
      </c>
      <c r="BF5" s="1546"/>
      <c r="BG5" s="1547"/>
      <c r="BH5" s="1546"/>
      <c r="BI5" s="1547"/>
      <c r="BJ5" s="1546"/>
      <c r="BK5" s="1547"/>
      <c r="BL5" s="1546"/>
      <c r="BM5" s="1547"/>
    </row>
    <row r="6" spans="1:65" ht="21.75" customHeight="1">
      <c r="A6" s="1541"/>
      <c r="B6" s="659"/>
      <c r="C6" s="1543"/>
      <c r="D6" s="1491"/>
      <c r="E6" s="1491"/>
      <c r="F6" s="1520"/>
      <c r="G6" s="1491"/>
      <c r="H6" s="1491"/>
      <c r="I6" s="1491"/>
      <c r="J6" s="1491"/>
      <c r="K6" s="1491"/>
      <c r="L6" s="1491"/>
      <c r="M6" s="1491"/>
      <c r="N6" s="1491"/>
      <c r="O6" s="1491"/>
      <c r="P6" s="1491"/>
      <c r="Q6" s="1491"/>
      <c r="R6" s="1491"/>
      <c r="S6" s="1491"/>
      <c r="T6" s="1491"/>
      <c r="U6" s="1526"/>
      <c r="V6" s="1526"/>
      <c r="W6" s="1491"/>
      <c r="X6" s="1491"/>
      <c r="Y6" s="1494"/>
      <c r="Z6" s="1550"/>
      <c r="AA6" s="1553"/>
      <c r="AB6" s="1550"/>
      <c r="AC6" s="1550"/>
      <c r="AD6" s="1550"/>
      <c r="AE6" s="1550"/>
      <c r="AF6" s="1491"/>
      <c r="AG6" s="1491"/>
      <c r="AH6" s="1491"/>
      <c r="AI6" s="1491"/>
      <c r="AJ6" s="1491"/>
      <c r="AK6" s="1503"/>
      <c r="AL6" s="1503"/>
      <c r="AM6" s="1491"/>
      <c r="AN6" s="1491"/>
      <c r="AO6" s="1491"/>
      <c r="AP6" s="1491"/>
      <c r="AQ6" s="1491"/>
      <c r="AR6" s="1491"/>
      <c r="AS6" s="1491"/>
      <c r="AT6" s="1491"/>
      <c r="AU6" s="1491"/>
      <c r="AV6" s="1491"/>
      <c r="AW6" s="1491"/>
      <c r="AX6" s="1491"/>
      <c r="AY6" s="1491"/>
      <c r="AZ6" s="1491"/>
      <c r="BA6" s="1491"/>
      <c r="BB6" s="1491"/>
      <c r="BC6" s="1353"/>
      <c r="BD6" s="1353"/>
      <c r="BE6" s="1520"/>
      <c r="BF6" s="1544"/>
      <c r="BG6" s="1544"/>
      <c r="BH6" s="1544"/>
      <c r="BI6" s="1544"/>
      <c r="BJ6" s="1544"/>
      <c r="BK6" s="1544"/>
      <c r="BL6" s="1544"/>
      <c r="BM6" s="1544"/>
    </row>
    <row r="7" spans="1:65" ht="38.25" customHeight="1" thickBot="1">
      <c r="A7" s="1542"/>
      <c r="B7" s="660"/>
      <c r="C7" s="661" t="str">
        <f>Datos!A7</f>
        <v>COMPETENCIAS</v>
      </c>
      <c r="D7" s="1492"/>
      <c r="E7" s="1492"/>
      <c r="F7" s="1521"/>
      <c r="G7" s="1492"/>
      <c r="H7" s="1492"/>
      <c r="I7" s="1492"/>
      <c r="J7" s="1492"/>
      <c r="K7" s="1492"/>
      <c r="L7" s="1492"/>
      <c r="M7" s="1492"/>
      <c r="N7" s="1492"/>
      <c r="O7" s="1492"/>
      <c r="P7" s="1492"/>
      <c r="Q7" s="1492"/>
      <c r="R7" s="1492"/>
      <c r="S7" s="1492"/>
      <c r="T7" s="1492"/>
      <c r="U7" s="1527"/>
      <c r="V7" s="1527"/>
      <c r="W7" s="1492"/>
      <c r="X7" s="1492"/>
      <c r="Y7" s="1495"/>
      <c r="Z7" s="1551"/>
      <c r="AA7" s="1554"/>
      <c r="AB7" s="1551"/>
      <c r="AC7" s="1551"/>
      <c r="AD7" s="1551"/>
      <c r="AE7" s="1551"/>
      <c r="AF7" s="1492"/>
      <c r="AG7" s="1492"/>
      <c r="AH7" s="1492"/>
      <c r="AI7" s="1492"/>
      <c r="AJ7" s="1492"/>
      <c r="AK7" s="1504"/>
      <c r="AL7" s="1504"/>
      <c r="AM7" s="1492"/>
      <c r="AN7" s="1492"/>
      <c r="AO7" s="1492"/>
      <c r="AP7" s="1492"/>
      <c r="AQ7" s="1492"/>
      <c r="AR7" s="1492"/>
      <c r="AS7" s="1492"/>
      <c r="AT7" s="1492"/>
      <c r="AU7" s="1492"/>
      <c r="AV7" s="1492"/>
      <c r="AW7" s="1492"/>
      <c r="AX7" s="1492"/>
      <c r="AY7" s="1492"/>
      <c r="AZ7" s="1492"/>
      <c r="BA7" s="1492"/>
      <c r="BB7" s="1492"/>
      <c r="BC7" s="1548"/>
      <c r="BD7" s="1548"/>
      <c r="BE7" s="1521"/>
      <c r="BF7" s="1545"/>
      <c r="BG7" s="1545"/>
      <c r="BH7" s="1545"/>
      <c r="BI7" s="1545"/>
      <c r="BJ7" s="1545"/>
      <c r="BK7" s="1545"/>
      <c r="BL7" s="1545"/>
      <c r="BM7" s="1545"/>
    </row>
    <row r="8" spans="1:65"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65"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row>
    <row r="10" spans="1:65" ht="15">
      <c r="A10" s="501">
        <f>Datos!AO10</f>
        <v>1</v>
      </c>
      <c r="B10" s="507" t="s">
        <v>246</v>
      </c>
      <c r="C10" s="7" t="str">
        <f>Datos!A10</f>
        <v>Jdos. Violencia contra la mujer</v>
      </c>
      <c r="D10" s="508"/>
      <c r="E10" s="682">
        <f>IF(ISNUMBER(Datos!AQ10),Datos!AQ10," - ")</f>
        <v>0</v>
      </c>
      <c r="F10" s="683">
        <f>IF(ISNUMBER(Datos!L10+Datos!K10-Datos!J10),Datos!L10+Datos!K10-Datos!J10," - ")</f>
        <v>2</v>
      </c>
      <c r="G10" s="684">
        <f>IF(ISNUMBER(Datos!I10),Datos!I10," - ")</f>
        <v>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v>
      </c>
      <c r="AC10" s="683" t="str">
        <f>IF(ISNUMBER(IF(D_I="SI",DatosP!K17,DatosP!K17+DatosP!AE17)),IF(D_I="SI",DatosP!K17,DatosP!K17+DatosP!AE17)," - ")</f>
        <v xml:space="preserve"> - </v>
      </c>
      <c r="AD10" s="685"/>
      <c r="AE10" s="685"/>
      <c r="AF10" s="688">
        <f>IF(ISNUMBER(Datos!L10),Datos!L10,"-")</f>
        <v>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row>
    <row r="11" spans="1:65"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row>
    <row r="12" spans="1:65"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23</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11</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462</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19</v>
      </c>
      <c r="AM12" s="690">
        <f>IF(ISNUMBER(Datos!N12+DatosP!N16),Datos!N12+DatosP!N16," - ")</f>
        <v>52</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2.6666666666666668E-2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row>
    <row r="13" spans="1:65" ht="15.75" thickTop="1" thickBot="1">
      <c r="A13" s="701"/>
      <c r="B13" s="701"/>
      <c r="C13" s="936" t="str">
        <f>Datos!A13</f>
        <v>TOTAL</v>
      </c>
      <c r="D13" s="937"/>
      <c r="E13" s="937">
        <f t="shared" ref="E13:V13" si="0">SUBTOTAL(9,E8:E12)</f>
        <v>1</v>
      </c>
      <c r="F13" s="938">
        <f t="shared" si="0"/>
        <v>2</v>
      </c>
      <c r="G13" s="938">
        <f t="shared" si="0"/>
        <v>2</v>
      </c>
      <c r="H13" s="938">
        <f t="shared" si="0"/>
        <v>0</v>
      </c>
      <c r="I13" s="940">
        <f t="shared" si="0"/>
        <v>0</v>
      </c>
      <c r="J13" s="939">
        <f t="shared" si="0"/>
        <v>0</v>
      </c>
      <c r="K13" s="939">
        <f t="shared" si="0"/>
        <v>0</v>
      </c>
      <c r="L13" s="941">
        <f t="shared" si="0"/>
        <v>0</v>
      </c>
      <c r="M13" s="941">
        <f t="shared" si="0"/>
        <v>0</v>
      </c>
      <c r="N13" s="939">
        <f t="shared" si="0"/>
        <v>23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v>
      </c>
      <c r="AC13" s="939">
        <f t="shared" si="1"/>
        <v>0</v>
      </c>
      <c r="AD13" s="939">
        <f t="shared" si="1"/>
        <v>11</v>
      </c>
      <c r="AE13" s="939">
        <f t="shared" si="1"/>
        <v>0</v>
      </c>
      <c r="AF13" s="939">
        <f t="shared" si="1"/>
        <v>1</v>
      </c>
      <c r="AG13" s="939">
        <f t="shared" si="1"/>
        <v>0</v>
      </c>
      <c r="AH13" s="939">
        <f t="shared" si="1"/>
        <v>462</v>
      </c>
      <c r="AI13" s="939">
        <f t="shared" si="1"/>
        <v>0</v>
      </c>
      <c r="AJ13" s="939">
        <f t="shared" si="1"/>
        <v>0</v>
      </c>
      <c r="AK13" s="939">
        <f t="shared" si="1"/>
        <v>0</v>
      </c>
      <c r="AL13" s="939">
        <f t="shared" si="1"/>
        <v>19</v>
      </c>
      <c r="AM13" s="939">
        <f t="shared" si="1"/>
        <v>52</v>
      </c>
      <c r="AN13" s="939">
        <f t="shared" si="1"/>
        <v>0</v>
      </c>
      <c r="AO13" s="939">
        <f t="shared" si="1"/>
        <v>0</v>
      </c>
      <c r="AP13" s="944">
        <f>IF(ISNUMBER(((Datos!L13/Datos!K13)*11)/factor_trimestre),((Datos!L13/Datos!K13)*11)/factor_trimestre," - ")</f>
        <v>9.7659574468085122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v>
      </c>
      <c r="AU13" s="939" t="str">
        <f>IF(ISNUMBER((DatosP!#REF!-DatosP!#REF!+DatosP!#REF!)/(DatosP!#REF!+DatosP!#REF!-DatosP!#REF!-DatosP!#REF!)),(DatosP!#REF!-DatosP!#REF!+DatosP!#REF!)/(DatosP!#REF!+DatosP!#REF!-DatosP!#REF!-DatosP!#REF!)," - ")</f>
        <v xml:space="preserve"> - </v>
      </c>
      <c r="AV13" s="945">
        <f>SUBTOTAL(9,AV9:AV12)</f>
        <v>2.6666666666666668E-2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row>
    <row r="14" spans="1:65"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row>
    <row r="15" spans="1:65"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row>
    <row r="16" spans="1:65"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row>
    <row r="17" spans="1:65"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row>
    <row r="18" spans="1:65"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2.6142857142857143</v>
      </c>
      <c r="AQ18" s="944">
        <f>IF(ISNUMBER(((Datos!M18/Datos!L18)*11)/factor_trimestre),((Datos!M18/Datos!L18)*11)/factor_trimestre," - ")</f>
        <v>0.27049180327868855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-0.3125</v>
      </c>
      <c r="AW18" s="946">
        <f>IF(ISNUMBER((Datos!Q18-Datos!R18)/(Datos!S18-Datos!Q18+Datos!R18)),(Datos!Q18-Datos!R18)/(Datos!S18-Datos!Q18+Datos!R18)," - ")</f>
        <v>-3.0534351145038167E-2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row>
    <row r="19" spans="1:65" ht="18.75" customHeight="1" thickTop="1" thickBot="1">
      <c r="A19" s="728"/>
      <c r="B19" s="728"/>
      <c r="C19" s="949" t="str">
        <f>Datos!A19</f>
        <v>TOTAL JURISDICCIONES</v>
      </c>
      <c r="D19" s="949"/>
      <c r="E19" s="950">
        <f t="shared" ref="E19:T19" si="4">SUBTOTAL(9,E9:E18)</f>
        <v>1</v>
      </c>
      <c r="F19" s="951">
        <f t="shared" si="4"/>
        <v>2</v>
      </c>
      <c r="G19" s="951">
        <f t="shared" si="4"/>
        <v>2</v>
      </c>
      <c r="H19" s="951">
        <f t="shared" si="4"/>
        <v>0</v>
      </c>
      <c r="I19" s="952">
        <f t="shared" si="4"/>
        <v>0</v>
      </c>
      <c r="J19" s="953">
        <f t="shared" si="4"/>
        <v>0</v>
      </c>
      <c r="K19" s="953">
        <f t="shared" si="4"/>
        <v>0</v>
      </c>
      <c r="L19" s="953">
        <f t="shared" si="4"/>
        <v>0</v>
      </c>
      <c r="M19" s="953">
        <f t="shared" si="4"/>
        <v>0</v>
      </c>
      <c r="N19" s="952">
        <f t="shared" si="4"/>
        <v>23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v>
      </c>
      <c r="AC19" s="957">
        <f t="shared" si="5"/>
        <v>0</v>
      </c>
      <c r="AD19" s="957">
        <f t="shared" si="5"/>
        <v>11</v>
      </c>
      <c r="AE19" s="957">
        <f t="shared" si="5"/>
        <v>0</v>
      </c>
      <c r="AF19" s="958">
        <f t="shared" si="5"/>
        <v>1</v>
      </c>
      <c r="AG19" s="958">
        <f t="shared" si="5"/>
        <v>0</v>
      </c>
      <c r="AH19" s="958">
        <f t="shared" si="5"/>
        <v>462</v>
      </c>
      <c r="AI19" s="958">
        <f t="shared" si="5"/>
        <v>0</v>
      </c>
      <c r="AJ19" s="959">
        <f t="shared" si="5"/>
        <v>0</v>
      </c>
      <c r="AK19" s="959">
        <f t="shared" si="5"/>
        <v>0</v>
      </c>
      <c r="AL19" s="951">
        <f t="shared" si="5"/>
        <v>19</v>
      </c>
      <c r="AM19" s="951">
        <f t="shared" si="5"/>
        <v>52</v>
      </c>
      <c r="AN19" s="951">
        <f t="shared" si="5"/>
        <v>0</v>
      </c>
      <c r="AO19" s="951">
        <f t="shared" si="5"/>
        <v>0</v>
      </c>
      <c r="AP19" s="951">
        <f>IF(ISNUMBER(((Datos!L19/Datos!K19)*11)/factor_trimestre),((Datos!L19/Datos!K19)*11)/factor_trimestre," - ")</f>
        <v>5.4871794871794872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1.5021459227467811E-2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65"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1.3333333333333333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65" ht="18.75" hidden="1" customHeight="1">
      <c r="A21" s="733"/>
      <c r="B21" s="733"/>
      <c r="C21" s="733" t="s">
        <v>265</v>
      </c>
      <c r="D21" s="734"/>
      <c r="E21" s="735">
        <f>IF(ISNUMBER(STDEV(E8:E18)),STDEV(E8:E18),"-")</f>
        <v>0.51639777949432231</v>
      </c>
      <c r="F21" s="736">
        <f>IF(ISNUMBER(STDEV(F8:F18)),STDEV(F8:F18),"-")</f>
        <v>1.1547005383792517</v>
      </c>
      <c r="G21" s="737">
        <f>IF(ISNUMBER(STDEV(G8:G18)),STDEV(G8:G18),"-")</f>
        <v>1.1547005383792517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1.1547005383792517</v>
      </c>
      <c r="AC21" s="738">
        <f>IF(ISNUMBER(STDEV(AC8:AC18)),STDEV(AC8:AC18),"-")</f>
        <v>0</v>
      </c>
      <c r="AD21" s="741"/>
      <c r="AE21" s="741"/>
      <c r="AF21" s="741"/>
      <c r="AG21" s="741"/>
      <c r="AH21" s="741"/>
      <c r="AI21" s="741"/>
      <c r="AJ21" s="742">
        <f>IF(ISNUMBER(STDEV(AJ8:AJ18)),STDEV(AJ8:AJ18),"-")</f>
        <v>0</v>
      </c>
      <c r="AK21" s="744"/>
      <c r="AL21" s="736">
        <f>IF(ISNUMBER(STDEV(AL8:AL18)),STDEV(AL8:AL18),"-")</f>
        <v>10.969655114602888</v>
      </c>
      <c r="AM21" s="736"/>
      <c r="AN21" s="736">
        <f>IF(ISNUMBER(STDEV(AN8:AN18)),STDEV(AN8:AN18),"-")</f>
        <v>0</v>
      </c>
      <c r="AO21" s="742">
        <f>IF(ISNUMBER(STDEV(AO8:AO18)),STDEV(AO8:AO18),"-")</f>
        <v>0</v>
      </c>
      <c r="AP21" s="779">
        <f>IF(ISNUMBER(STDEV(AP8:AP18)),STDEV(AP8:AP18),"-")</f>
        <v>4.2654438171227929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65"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65"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65"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65"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65"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65">
      <c r="C27" s="71"/>
      <c r="D27" s="71"/>
      <c r="W27"/>
      <c r="X27"/>
    </row>
    <row r="30" spans="1:65">
      <c r="C30" s="645" t="str">
        <f>Criterios!A4</f>
        <v>Fecha Informe: 29 may. 2024</v>
      </c>
      <c r="W30"/>
      <c r="X30"/>
    </row>
    <row r="32" spans="1:65">
      <c r="C32" s="774"/>
      <c r="D32" s="774"/>
      <c r="W32"/>
      <c r="X32"/>
    </row>
  </sheetData>
  <sheetProtection algorithmName="SHA-512" hashValue="efg41VJDVjXrLlILSL3XOu5PZZIosJvwV5RZWbdd1DoFtMLJBP/qb0/UsWaH/I7iQCPpyc7I2TmVbqtgNKnE5g==" saltValue="WQAMKSNnog54XClDULjd7g=="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2024-05-29T13:00:27Z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